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CD5AE64C-B504-410E-9848-75342671FDB1}" xr6:coauthVersionLast="47" xr6:coauthVersionMax="47" xr10:uidLastSave="{00000000-0000-0000-0000-000000000000}"/>
  <bookViews>
    <workbookView xWindow="-120" yWindow="-120" windowWidth="20730" windowHeight="11040" activeTab="1" xr2:uid="{B7F1DA1B-A516-4AB1-9CB1-913B3B690A94}"/>
  </bookViews>
  <sheets>
    <sheet name="Payroll" sheetId="1" r:id="rId1"/>
    <sheet name="Employee Benefits" sheetId="8" r:id="rId2"/>
    <sheet name="Semi-Monthly Tax Table" sheetId="7" r:id="rId3"/>
    <sheet name="Payslip" sheetId="9" r:id="rId4"/>
    <sheet name="Pag-IBIG Table" sheetId="6" r:id="rId5"/>
    <sheet name="Phil-Health Table" sheetId="5" r:id="rId6"/>
    <sheet name="SSS Table" sheetId="2" r:id="rId7"/>
  </sheets>
  <definedNames>
    <definedName name="PAG_Table">'Pag-IBIG Table'!$B$5:$E$7</definedName>
    <definedName name="Payroll_Table">Payroll!$B$5:$AA$15</definedName>
    <definedName name="PH_Table">'Phil-Health Table'!$E$33:$G$35</definedName>
    <definedName name="SMT_Table">'Semi-Monthly Tax Table'!$B$5:$F$10</definedName>
    <definedName name="SSS_Table">'SSS Table'!$B$2:$N$58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G13" i="7"/>
  <c r="D26" i="9"/>
  <c r="D7" i="9"/>
  <c r="T6" i="1"/>
  <c r="T7" i="1"/>
  <c r="T8" i="1"/>
  <c r="T9" i="1"/>
  <c r="T10" i="1"/>
  <c r="T11" i="1"/>
  <c r="T12" i="1"/>
  <c r="T13" i="1"/>
  <c r="T14" i="1"/>
  <c r="T5" i="1"/>
  <c r="P6" i="1"/>
  <c r="P7" i="1"/>
  <c r="P8" i="1"/>
  <c r="P9" i="1"/>
  <c r="P10" i="1"/>
  <c r="P11" i="1"/>
  <c r="P12" i="1"/>
  <c r="P13" i="1"/>
  <c r="P14" i="1"/>
  <c r="J5" i="1" l="1"/>
  <c r="K15" i="1" l="1"/>
  <c r="G9" i="8"/>
  <c r="K5" i="1"/>
  <c r="D15" i="9" s="1"/>
  <c r="D24" i="9"/>
  <c r="D20" i="9"/>
  <c r="D19" i="9"/>
  <c r="D18" i="9"/>
  <c r="C32" i="9"/>
  <c r="D14" i="9"/>
  <c r="D13" i="9"/>
  <c r="D12" i="9"/>
  <c r="D10" i="9"/>
  <c r="D9" i="9"/>
  <c r="D16" i="9" l="1"/>
  <c r="AA5" i="1"/>
  <c r="Z5" i="1"/>
  <c r="Y5" i="1"/>
  <c r="X6" i="1"/>
  <c r="X7" i="1"/>
  <c r="X8" i="1"/>
  <c r="X9" i="1"/>
  <c r="X10" i="1"/>
  <c r="X11" i="1"/>
  <c r="X12" i="1"/>
  <c r="X13" i="1"/>
  <c r="X14" i="1"/>
  <c r="X5" i="1"/>
  <c r="W6" i="1"/>
  <c r="W7" i="1"/>
  <c r="W8" i="1"/>
  <c r="W9" i="1"/>
  <c r="W10" i="1"/>
  <c r="W11" i="1"/>
  <c r="W12" i="1"/>
  <c r="W13" i="1"/>
  <c r="W14" i="1"/>
  <c r="W5" i="1"/>
  <c r="V5" i="1"/>
  <c r="S15" i="1"/>
  <c r="R14" i="1"/>
  <c r="R13" i="1"/>
  <c r="R12" i="1"/>
  <c r="R11" i="1"/>
  <c r="R10" i="1"/>
  <c r="R9" i="1"/>
  <c r="R8" i="1"/>
  <c r="R7" i="1"/>
  <c r="R6" i="1"/>
  <c r="L8" i="1"/>
  <c r="K14" i="1"/>
  <c r="K13" i="1"/>
  <c r="K12" i="1"/>
  <c r="K11" i="1"/>
  <c r="K10" i="1"/>
  <c r="K9" i="1"/>
  <c r="K8" i="1"/>
  <c r="K7" i="1"/>
  <c r="K6" i="1"/>
  <c r="I11" i="8"/>
  <c r="I12" i="8"/>
  <c r="I14" i="8"/>
  <c r="I16" i="8"/>
  <c r="I17" i="8"/>
  <c r="I18" i="8"/>
  <c r="H11" i="8"/>
  <c r="L7" i="1" s="1"/>
  <c r="H10" i="8"/>
  <c r="L6" i="1" s="1"/>
  <c r="H12" i="8"/>
  <c r="H13" i="8"/>
  <c r="L9" i="1" s="1"/>
  <c r="H14" i="8"/>
  <c r="L10" i="1" s="1"/>
  <c r="H15" i="8"/>
  <c r="L11" i="1" s="1"/>
  <c r="H16" i="8"/>
  <c r="L12" i="1" s="1"/>
  <c r="H17" i="8"/>
  <c r="L13" i="1" s="1"/>
  <c r="H18" i="8"/>
  <c r="L14" i="1" s="1"/>
  <c r="H9" i="8"/>
  <c r="L5" i="1" s="1"/>
  <c r="G10" i="8"/>
  <c r="I10" i="8" s="1"/>
  <c r="G11" i="8"/>
  <c r="G12" i="8"/>
  <c r="G13" i="8"/>
  <c r="I13" i="8" s="1"/>
  <c r="G14" i="8"/>
  <c r="G15" i="8"/>
  <c r="I15" i="8" s="1"/>
  <c r="G16" i="8"/>
  <c r="G17" i="8"/>
  <c r="G18" i="8"/>
  <c r="I9" i="8"/>
  <c r="R5" i="1" s="1"/>
  <c r="D23" i="9" l="1"/>
  <c r="R15" i="1"/>
  <c r="J35" i="5"/>
  <c r="I35" i="5"/>
  <c r="G5" i="1" l="1"/>
  <c r="K58" i="2" l="1"/>
  <c r="K57" i="2"/>
  <c r="K56" i="2"/>
  <c r="K55" i="2"/>
  <c r="K54" i="2"/>
  <c r="K53" i="2"/>
  <c r="K52" i="2"/>
  <c r="K51" i="2"/>
  <c r="K50" i="2"/>
  <c r="B50" i="2"/>
  <c r="B51" i="2" s="1"/>
  <c r="C50" i="2" s="1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G6" i="2"/>
  <c r="G7" i="2" s="1"/>
  <c r="F6" i="2"/>
  <c r="L6" i="2" s="1"/>
  <c r="D6" i="2"/>
  <c r="D7" i="2" s="1"/>
  <c r="G14" i="1"/>
  <c r="J14" i="1" s="1"/>
  <c r="O14" i="1" s="1"/>
  <c r="G6" i="1"/>
  <c r="J6" i="1" s="1"/>
  <c r="O6" i="1" s="1"/>
  <c r="G7" i="1"/>
  <c r="J7" i="1" s="1"/>
  <c r="O7" i="1" s="1"/>
  <c r="G8" i="1"/>
  <c r="J8" i="1" s="1"/>
  <c r="O8" i="1" s="1"/>
  <c r="G9" i="1"/>
  <c r="J9" i="1" s="1"/>
  <c r="O9" i="1" s="1"/>
  <c r="G10" i="1"/>
  <c r="G11" i="1"/>
  <c r="J11" i="1" s="1"/>
  <c r="O11" i="1" s="1"/>
  <c r="G12" i="1"/>
  <c r="J12" i="1" s="1"/>
  <c r="O12" i="1" s="1"/>
  <c r="G13" i="1"/>
  <c r="J13" i="1" s="1"/>
  <c r="O13" i="1" s="1"/>
  <c r="O5" i="1" l="1"/>
  <c r="M5" i="1"/>
  <c r="N12" i="1"/>
  <c r="N14" i="1"/>
  <c r="N11" i="1"/>
  <c r="N7" i="1"/>
  <c r="N13" i="1"/>
  <c r="N8" i="1"/>
  <c r="N6" i="1"/>
  <c r="N9" i="1"/>
  <c r="N5" i="1"/>
  <c r="V12" i="1"/>
  <c r="V7" i="1"/>
  <c r="V6" i="1"/>
  <c r="V13" i="1"/>
  <c r="V9" i="1"/>
  <c r="J10" i="1"/>
  <c r="O10" i="1" s="1"/>
  <c r="C49" i="2"/>
  <c r="V11" i="1"/>
  <c r="V14" i="1"/>
  <c r="D8" i="2"/>
  <c r="E7" i="2"/>
  <c r="G8" i="2"/>
  <c r="M7" i="2"/>
  <c r="M6" i="2"/>
  <c r="N6" i="2" s="1"/>
  <c r="E6" i="2"/>
  <c r="F7" i="2"/>
  <c r="B52" i="2"/>
  <c r="H6" i="2"/>
  <c r="AA14" i="1" l="1"/>
  <c r="AA11" i="1"/>
  <c r="AA8" i="1"/>
  <c r="AA9" i="1"/>
  <c r="N10" i="1"/>
  <c r="O15" i="1"/>
  <c r="J15" i="1"/>
  <c r="AA7" i="1"/>
  <c r="Z9" i="1"/>
  <c r="Z12" i="1"/>
  <c r="Z6" i="1"/>
  <c r="Z8" i="1"/>
  <c r="Z13" i="1"/>
  <c r="Z14" i="1"/>
  <c r="Z11" i="1"/>
  <c r="AA12" i="1"/>
  <c r="X15" i="1"/>
  <c r="W15" i="1"/>
  <c r="AA13" i="1"/>
  <c r="AA6" i="1"/>
  <c r="Z7" i="1"/>
  <c r="G9" i="2"/>
  <c r="M8" i="2"/>
  <c r="H7" i="2"/>
  <c r="F8" i="2"/>
  <c r="L7" i="2"/>
  <c r="N7" i="2" s="1"/>
  <c r="B53" i="2"/>
  <c r="C51" i="2"/>
  <c r="D9" i="2"/>
  <c r="E8" i="2"/>
  <c r="Z10" i="1" l="1"/>
  <c r="Z15" i="1" s="1"/>
  <c r="N15" i="1"/>
  <c r="AA10" i="1"/>
  <c r="AA15" i="1" s="1"/>
  <c r="D10" i="2"/>
  <c r="E9" i="2"/>
  <c r="C52" i="2"/>
  <c r="B54" i="2"/>
  <c r="H8" i="2"/>
  <c r="F9" i="2"/>
  <c r="L8" i="2"/>
  <c r="N8" i="2" s="1"/>
  <c r="M9" i="2"/>
  <c r="G10" i="2"/>
  <c r="F10" i="2" l="1"/>
  <c r="L9" i="2"/>
  <c r="N9" i="2" s="1"/>
  <c r="H9" i="2"/>
  <c r="B55" i="2"/>
  <c r="C53" i="2"/>
  <c r="M10" i="2"/>
  <c r="G11" i="2"/>
  <c r="D11" i="2"/>
  <c r="E10" i="2"/>
  <c r="D12" i="2" l="1"/>
  <c r="E11" i="2"/>
  <c r="M11" i="2"/>
  <c r="G12" i="2"/>
  <c r="C54" i="2"/>
  <c r="B56" i="2"/>
  <c r="L10" i="2"/>
  <c r="N10" i="2" s="1"/>
  <c r="F11" i="2"/>
  <c r="H10" i="2"/>
  <c r="M12" i="2" l="1"/>
  <c r="G13" i="2"/>
  <c r="L11" i="2"/>
  <c r="N11" i="2" s="1"/>
  <c r="H11" i="2"/>
  <c r="F12" i="2"/>
  <c r="C55" i="2"/>
  <c r="B57" i="2"/>
  <c r="D13" i="2"/>
  <c r="E12" i="2"/>
  <c r="E13" i="2" l="1"/>
  <c r="D14" i="2"/>
  <c r="B58" i="2"/>
  <c r="C57" i="2" s="1"/>
  <c r="C56" i="2"/>
  <c r="M13" i="2"/>
  <c r="G14" i="2"/>
  <c r="L12" i="2"/>
  <c r="N12" i="2" s="1"/>
  <c r="H12" i="2"/>
  <c r="F13" i="2"/>
  <c r="V10" i="1" l="1"/>
  <c r="V8" i="1"/>
  <c r="D15" i="2"/>
  <c r="E14" i="2"/>
  <c r="G15" i="2"/>
  <c r="M13" i="1" s="1"/>
  <c r="M14" i="2"/>
  <c r="L13" i="2"/>
  <c r="N13" i="2" s="1"/>
  <c r="H13" i="2"/>
  <c r="F14" i="2"/>
  <c r="V15" i="1" l="1"/>
  <c r="C21" i="7"/>
  <c r="L14" i="2"/>
  <c r="N14" i="2" s="1"/>
  <c r="H14" i="2"/>
  <c r="F15" i="2"/>
  <c r="U13" i="1" s="1"/>
  <c r="Y13" i="1" s="1"/>
  <c r="G16" i="2"/>
  <c r="M15" i="2"/>
  <c r="D16" i="2"/>
  <c r="E15" i="2"/>
  <c r="F21" i="7" l="1"/>
  <c r="E21" i="7"/>
  <c r="D21" i="7"/>
  <c r="D17" i="2"/>
  <c r="E16" i="2"/>
  <c r="G17" i="2"/>
  <c r="M12" i="1" s="1"/>
  <c r="M16" i="2"/>
  <c r="H15" i="2"/>
  <c r="F16" i="2"/>
  <c r="L15" i="2"/>
  <c r="N15" i="2" s="1"/>
  <c r="G21" i="7" l="1"/>
  <c r="H21" i="7" s="1"/>
  <c r="Q13" i="1" s="1"/>
  <c r="C20" i="7"/>
  <c r="H16" i="2"/>
  <c r="F17" i="2"/>
  <c r="U12" i="1" s="1"/>
  <c r="Y12" i="1" s="1"/>
  <c r="L16" i="2"/>
  <c r="N16" i="2" s="1"/>
  <c r="M17" i="2"/>
  <c r="G18" i="2"/>
  <c r="D18" i="2"/>
  <c r="E17" i="2"/>
  <c r="F20" i="7" l="1"/>
  <c r="E20" i="7"/>
  <c r="D20" i="7"/>
  <c r="G19" i="2"/>
  <c r="M18" i="2"/>
  <c r="D19" i="2"/>
  <c r="E18" i="2"/>
  <c r="F18" i="2"/>
  <c r="L17" i="2"/>
  <c r="N17" i="2" s="1"/>
  <c r="H17" i="2"/>
  <c r="G20" i="7" l="1"/>
  <c r="H20" i="7" s="1"/>
  <c r="Q12" i="1" s="1"/>
  <c r="H18" i="2"/>
  <c r="L18" i="2"/>
  <c r="N18" i="2" s="1"/>
  <c r="F19" i="2"/>
  <c r="D20" i="2"/>
  <c r="E19" i="2"/>
  <c r="M19" i="2"/>
  <c r="G20" i="2"/>
  <c r="M20" i="2" l="1"/>
  <c r="G21" i="2"/>
  <c r="M14" i="1" s="1"/>
  <c r="D21" i="2"/>
  <c r="E20" i="2"/>
  <c r="L19" i="2"/>
  <c r="N19" i="2" s="1"/>
  <c r="H19" i="2"/>
  <c r="F20" i="2"/>
  <c r="C22" i="7" l="1"/>
  <c r="L20" i="2"/>
  <c r="N20" i="2" s="1"/>
  <c r="H20" i="2"/>
  <c r="F21" i="2"/>
  <c r="U14" i="1" s="1"/>
  <c r="Y14" i="1" s="1"/>
  <c r="D22" i="2"/>
  <c r="E21" i="2"/>
  <c r="M21" i="2"/>
  <c r="G22" i="2"/>
  <c r="F22" i="7" l="1"/>
  <c r="E22" i="7"/>
  <c r="D22" i="7"/>
  <c r="D23" i="2"/>
  <c r="E22" i="2"/>
  <c r="G23" i="2"/>
  <c r="M22" i="2"/>
  <c r="L21" i="2"/>
  <c r="N21" i="2" s="1"/>
  <c r="H21" i="2"/>
  <c r="F22" i="2"/>
  <c r="G22" i="7" l="1"/>
  <c r="H22" i="7"/>
  <c r="Q14" i="1" s="1"/>
  <c r="L22" i="2"/>
  <c r="N22" i="2" s="1"/>
  <c r="H22" i="2"/>
  <c r="F23" i="2"/>
  <c r="G24" i="2"/>
  <c r="M23" i="2"/>
  <c r="D24" i="2"/>
  <c r="E23" i="2"/>
  <c r="G25" i="2" l="1"/>
  <c r="M24" i="2"/>
  <c r="D25" i="2"/>
  <c r="E24" i="2"/>
  <c r="H23" i="2"/>
  <c r="F24" i="2"/>
  <c r="L23" i="2"/>
  <c r="N23" i="2" s="1"/>
  <c r="H24" i="2" l="1"/>
  <c r="F25" i="2"/>
  <c r="L24" i="2"/>
  <c r="N24" i="2" s="1"/>
  <c r="D26" i="2"/>
  <c r="E25" i="2"/>
  <c r="M25" i="2"/>
  <c r="G26" i="2"/>
  <c r="G27" i="2" l="1"/>
  <c r="M26" i="2"/>
  <c r="D27" i="2"/>
  <c r="E26" i="2"/>
  <c r="F26" i="2"/>
  <c r="L25" i="2"/>
  <c r="N25" i="2" s="1"/>
  <c r="H25" i="2"/>
  <c r="L26" i="2" l="1"/>
  <c r="N26" i="2" s="1"/>
  <c r="F27" i="2"/>
  <c r="H26" i="2"/>
  <c r="D28" i="2"/>
  <c r="E27" i="2"/>
  <c r="M27" i="2"/>
  <c r="G28" i="2"/>
  <c r="D29" i="2" l="1"/>
  <c r="E28" i="2"/>
  <c r="M28" i="2"/>
  <c r="G29" i="2"/>
  <c r="L27" i="2"/>
  <c r="N27" i="2" s="1"/>
  <c r="H27" i="2"/>
  <c r="F28" i="2"/>
  <c r="L28" i="2" l="1"/>
  <c r="N28" i="2" s="1"/>
  <c r="H28" i="2"/>
  <c r="F29" i="2"/>
  <c r="M29" i="2"/>
  <c r="G30" i="2"/>
  <c r="D30" i="2"/>
  <c r="E29" i="2"/>
  <c r="D31" i="2" l="1"/>
  <c r="E30" i="2"/>
  <c r="G31" i="2"/>
  <c r="M30" i="2"/>
  <c r="L29" i="2"/>
  <c r="N29" i="2" s="1"/>
  <c r="H29" i="2"/>
  <c r="F30" i="2"/>
  <c r="L30" i="2" l="1"/>
  <c r="N30" i="2" s="1"/>
  <c r="H30" i="2"/>
  <c r="F31" i="2"/>
  <c r="M31" i="2"/>
  <c r="G32" i="2"/>
  <c r="D32" i="2"/>
  <c r="E31" i="2"/>
  <c r="D33" i="2" l="1"/>
  <c r="E32" i="2"/>
  <c r="G33" i="2"/>
  <c r="M32" i="2"/>
  <c r="H31" i="2"/>
  <c r="F32" i="2"/>
  <c r="L31" i="2"/>
  <c r="N31" i="2" s="1"/>
  <c r="H32" i="2" l="1"/>
  <c r="F33" i="2"/>
  <c r="L32" i="2"/>
  <c r="N32" i="2" s="1"/>
  <c r="M33" i="2"/>
  <c r="G34" i="2"/>
  <c r="M11" i="1" s="1"/>
  <c r="D34" i="2"/>
  <c r="E33" i="2"/>
  <c r="C19" i="7" l="1"/>
  <c r="D35" i="2"/>
  <c r="E34" i="2"/>
  <c r="G35" i="2"/>
  <c r="M34" i="2"/>
  <c r="F34" i="2"/>
  <c r="U11" i="1" s="1"/>
  <c r="Y11" i="1" s="1"/>
  <c r="L33" i="2"/>
  <c r="N33" i="2" s="1"/>
  <c r="H33" i="2"/>
  <c r="F19" i="7" l="1"/>
  <c r="E19" i="7"/>
  <c r="D19" i="7"/>
  <c r="L34" i="2"/>
  <c r="N34" i="2" s="1"/>
  <c r="F35" i="2"/>
  <c r="H34" i="2"/>
  <c r="M35" i="2"/>
  <c r="G36" i="2"/>
  <c r="D36" i="2"/>
  <c r="E35" i="2"/>
  <c r="G19" i="7" l="1"/>
  <c r="H19" i="7" s="1"/>
  <c r="Q11" i="1" s="1"/>
  <c r="D37" i="2"/>
  <c r="E36" i="2"/>
  <c r="M36" i="2"/>
  <c r="G37" i="2"/>
  <c r="L35" i="2"/>
  <c r="N35" i="2" s="1"/>
  <c r="H35" i="2"/>
  <c r="F36" i="2"/>
  <c r="L36" i="2" l="1"/>
  <c r="N36" i="2" s="1"/>
  <c r="H36" i="2"/>
  <c r="F37" i="2"/>
  <c r="M37" i="2"/>
  <c r="G38" i="2"/>
  <c r="D38" i="2"/>
  <c r="E37" i="2"/>
  <c r="D39" i="2" l="1"/>
  <c r="E38" i="2"/>
  <c r="G39" i="2"/>
  <c r="M7" i="1" s="1"/>
  <c r="M38" i="2"/>
  <c r="L37" i="2"/>
  <c r="N37" i="2" s="1"/>
  <c r="H37" i="2"/>
  <c r="F38" i="2"/>
  <c r="C15" i="7" l="1"/>
  <c r="L38" i="2"/>
  <c r="N38" i="2" s="1"/>
  <c r="H38" i="2"/>
  <c r="F39" i="2"/>
  <c r="U7" i="1" s="1"/>
  <c r="Y7" i="1" s="1"/>
  <c r="G40" i="2"/>
  <c r="M39" i="2"/>
  <c r="D40" i="2"/>
  <c r="E39" i="2"/>
  <c r="F15" i="7" l="1"/>
  <c r="D15" i="7"/>
  <c r="E15" i="7"/>
  <c r="G41" i="2"/>
  <c r="M40" i="2"/>
  <c r="D41" i="2"/>
  <c r="E40" i="2"/>
  <c r="H39" i="2"/>
  <c r="F40" i="2"/>
  <c r="L39" i="2"/>
  <c r="N39" i="2" s="1"/>
  <c r="G15" i="7" l="1"/>
  <c r="H15" i="7"/>
  <c r="Q7" i="1" s="1"/>
  <c r="H40" i="2"/>
  <c r="F41" i="2"/>
  <c r="L40" i="2"/>
  <c r="N40" i="2" s="1"/>
  <c r="D42" i="2"/>
  <c r="E41" i="2"/>
  <c r="M41" i="2"/>
  <c r="G42" i="2"/>
  <c r="M9" i="1" s="1"/>
  <c r="C17" i="7" l="1"/>
  <c r="G43" i="2"/>
  <c r="M42" i="2"/>
  <c r="D43" i="2"/>
  <c r="E42" i="2"/>
  <c r="F42" i="2"/>
  <c r="U9" i="1" s="1"/>
  <c r="Y9" i="1" s="1"/>
  <c r="L41" i="2"/>
  <c r="N41" i="2" s="1"/>
  <c r="H41" i="2"/>
  <c r="F17" i="7" l="1"/>
  <c r="E17" i="7"/>
  <c r="D17" i="7"/>
  <c r="L42" i="2"/>
  <c r="N42" i="2" s="1"/>
  <c r="H42" i="2"/>
  <c r="F43" i="2"/>
  <c r="D44" i="2"/>
  <c r="E43" i="2"/>
  <c r="M43" i="2"/>
  <c r="G44" i="2"/>
  <c r="G17" i="7" l="1"/>
  <c r="H17" i="7" s="1"/>
  <c r="Q9" i="1" s="1"/>
  <c r="M44" i="2"/>
  <c r="G45" i="2"/>
  <c r="D45" i="2"/>
  <c r="E44" i="2"/>
  <c r="F44" i="2"/>
  <c r="L43" i="2"/>
  <c r="N43" i="2" s="1"/>
  <c r="H43" i="2"/>
  <c r="L44" i="2" l="1"/>
  <c r="N44" i="2" s="1"/>
  <c r="H44" i="2"/>
  <c r="F45" i="2"/>
  <c r="D46" i="2"/>
  <c r="E45" i="2"/>
  <c r="M45" i="2"/>
  <c r="G46" i="2"/>
  <c r="M6" i="1" s="1"/>
  <c r="C14" i="7" l="1"/>
  <c r="D47" i="2"/>
  <c r="E46" i="2"/>
  <c r="G47" i="2"/>
  <c r="M46" i="2"/>
  <c r="L45" i="2"/>
  <c r="N45" i="2" s="1"/>
  <c r="H45" i="2"/>
  <c r="F46" i="2"/>
  <c r="U6" i="1" s="1"/>
  <c r="Y6" i="1" s="1"/>
  <c r="F14" i="7" l="1"/>
  <c r="D14" i="7"/>
  <c r="E14" i="7"/>
  <c r="L46" i="2"/>
  <c r="N46" i="2" s="1"/>
  <c r="H46" i="2"/>
  <c r="F47" i="2"/>
  <c r="G48" i="2"/>
  <c r="M47" i="2"/>
  <c r="D48" i="2"/>
  <c r="E47" i="2"/>
  <c r="G14" i="7" l="1"/>
  <c r="H14" i="7" s="1"/>
  <c r="Q6" i="1" s="1"/>
  <c r="D49" i="2"/>
  <c r="E48" i="2"/>
  <c r="M48" i="2"/>
  <c r="G49" i="2"/>
  <c r="H47" i="2"/>
  <c r="F48" i="2"/>
  <c r="L47" i="2"/>
  <c r="N47" i="2" s="1"/>
  <c r="F49" i="2" l="1"/>
  <c r="H48" i="2"/>
  <c r="L48" i="2"/>
  <c r="N48" i="2" s="1"/>
  <c r="M49" i="2"/>
  <c r="G50" i="2"/>
  <c r="E49" i="2"/>
  <c r="D50" i="2"/>
  <c r="M50" i="2" l="1"/>
  <c r="G51" i="2"/>
  <c r="D51" i="2"/>
  <c r="E50" i="2"/>
  <c r="L49" i="2"/>
  <c r="N49" i="2" s="1"/>
  <c r="F50" i="2"/>
  <c r="H49" i="2"/>
  <c r="L50" i="2" l="1"/>
  <c r="N50" i="2" s="1"/>
  <c r="F51" i="2"/>
  <c r="H50" i="2"/>
  <c r="D52" i="2"/>
  <c r="E51" i="2"/>
  <c r="M51" i="2"/>
  <c r="G52" i="2"/>
  <c r="M52" i="2" l="1"/>
  <c r="G53" i="2"/>
  <c r="E52" i="2"/>
  <c r="D53" i="2"/>
  <c r="H51" i="2"/>
  <c r="L51" i="2"/>
  <c r="N51" i="2" s="1"/>
  <c r="F52" i="2"/>
  <c r="L52" i="2" l="1"/>
  <c r="N52" i="2" s="1"/>
  <c r="F53" i="2"/>
  <c r="H52" i="2"/>
  <c r="D54" i="2"/>
  <c r="E53" i="2"/>
  <c r="G54" i="2"/>
  <c r="M53" i="2"/>
  <c r="L53" i="2" l="1"/>
  <c r="N53" i="2" s="1"/>
  <c r="F54" i="2"/>
  <c r="H53" i="2"/>
  <c r="M54" i="2"/>
  <c r="G55" i="2"/>
  <c r="D55" i="2"/>
  <c r="E54" i="2"/>
  <c r="M55" i="2" l="1"/>
  <c r="G56" i="2"/>
  <c r="D56" i="2"/>
  <c r="E55" i="2"/>
  <c r="L54" i="2"/>
  <c r="N54" i="2" s="1"/>
  <c r="F55" i="2"/>
  <c r="H54" i="2"/>
  <c r="L55" i="2" l="1"/>
  <c r="N55" i="2" s="1"/>
  <c r="F56" i="2"/>
  <c r="H55" i="2"/>
  <c r="D57" i="2"/>
  <c r="E56" i="2"/>
  <c r="M56" i="2"/>
  <c r="G57" i="2"/>
  <c r="M57" i="2" l="1"/>
  <c r="G58" i="2"/>
  <c r="D58" i="2"/>
  <c r="E58" i="2" s="1"/>
  <c r="E57" i="2"/>
  <c r="F57" i="2"/>
  <c r="H56" i="2"/>
  <c r="L56" i="2"/>
  <c r="N56" i="2" s="1"/>
  <c r="M58" i="2" l="1"/>
  <c r="M8" i="1"/>
  <c r="M10" i="1"/>
  <c r="L57" i="2"/>
  <c r="N57" i="2" s="1"/>
  <c r="F58" i="2"/>
  <c r="H57" i="2"/>
  <c r="C18" i="7" l="1"/>
  <c r="M15" i="1"/>
  <c r="C13" i="7"/>
  <c r="C16" i="7"/>
  <c r="U5" i="1"/>
  <c r="U8" i="1"/>
  <c r="Y8" i="1" s="1"/>
  <c r="U10" i="1"/>
  <c r="Y10" i="1" s="1"/>
  <c r="L58" i="2"/>
  <c r="N58" i="2" s="1"/>
  <c r="H58" i="2"/>
  <c r="F16" i="7" l="1"/>
  <c r="F18" i="7"/>
  <c r="F13" i="7"/>
  <c r="E13" i="7"/>
  <c r="E18" i="7"/>
  <c r="D18" i="7"/>
  <c r="E16" i="7"/>
  <c r="D16" i="7"/>
  <c r="D13" i="7"/>
  <c r="U15" i="1"/>
  <c r="P15" i="1"/>
  <c r="Y15" i="1"/>
  <c r="G16" i="7" l="1"/>
  <c r="G18" i="7"/>
  <c r="H18" i="7" s="1"/>
  <c r="Q10" i="1" s="1"/>
  <c r="H13" i="7"/>
  <c r="Q5" i="1" s="1"/>
  <c r="H16" i="7"/>
  <c r="Q8" i="1" s="1"/>
  <c r="D22" i="9" l="1"/>
  <c r="D25" i="9" s="1"/>
  <c r="Q15" i="1"/>
  <c r="T15" i="1" l="1"/>
</calcChain>
</file>

<file path=xl/sharedStrings.xml><?xml version="1.0" encoding="utf-8"?>
<sst xmlns="http://schemas.openxmlformats.org/spreadsheetml/2006/main" count="196" uniqueCount="122">
  <si>
    <t>Name of Employee</t>
  </si>
  <si>
    <t>Position</t>
  </si>
  <si>
    <t>Monthly Salary</t>
  </si>
  <si>
    <t>Semi-Monthly</t>
  </si>
  <si>
    <t>Overtime</t>
  </si>
  <si>
    <t>Other Pay</t>
  </si>
  <si>
    <t>Total</t>
  </si>
  <si>
    <t>Employees Contribution</t>
  </si>
  <si>
    <t>SSS Cont</t>
  </si>
  <si>
    <t>EE Share</t>
  </si>
  <si>
    <t>Phil-Health</t>
  </si>
  <si>
    <t>Pag-IBIG</t>
  </si>
  <si>
    <t>Taxable Income</t>
  </si>
  <si>
    <t>Other Deductions</t>
  </si>
  <si>
    <t>Witholding</t>
  </si>
  <si>
    <t>Tax</t>
  </si>
  <si>
    <t>Employees</t>
  </si>
  <si>
    <t>Advances</t>
  </si>
  <si>
    <t>Net</t>
  </si>
  <si>
    <t>Pay</t>
  </si>
  <si>
    <t>ER Share</t>
  </si>
  <si>
    <t>EC</t>
  </si>
  <si>
    <t>Employer Contribution</t>
  </si>
  <si>
    <t>SSS</t>
  </si>
  <si>
    <t>Contribution</t>
  </si>
  <si>
    <t>Accountant</t>
  </si>
  <si>
    <t>SSS Table - 2023</t>
  </si>
  <si>
    <t>RANGE</t>
  </si>
  <si>
    <t>MONTHLY SALARY CREDIT</t>
  </si>
  <si>
    <t>AMOUNT OF CONTRIBUTIONS</t>
  </si>
  <si>
    <t>OF</t>
  </si>
  <si>
    <t>REGULAR SS /</t>
  </si>
  <si>
    <t>TOTAL</t>
  </si>
  <si>
    <t>COMPENSATION</t>
  </si>
  <si>
    <t>ER</t>
  </si>
  <si>
    <t>EE</t>
  </si>
  <si>
    <t>Employer</t>
  </si>
  <si>
    <t>Employee</t>
  </si>
  <si>
    <t>Semi-Monthly Tax Table</t>
  </si>
  <si>
    <t>Over</t>
  </si>
  <si>
    <t>Not</t>
  </si>
  <si>
    <t>Basic</t>
  </si>
  <si>
    <t>plus</t>
  </si>
  <si>
    <t>of excess over</t>
  </si>
  <si>
    <t>Salary Range</t>
  </si>
  <si>
    <t>Rate</t>
  </si>
  <si>
    <t>Not Over</t>
  </si>
  <si>
    <t>Chief Legal Officer</t>
  </si>
  <si>
    <t>Dohwa</t>
  </si>
  <si>
    <t>Challe</t>
  </si>
  <si>
    <t>Eiser</t>
  </si>
  <si>
    <t xml:space="preserve">Iansa </t>
  </si>
  <si>
    <t xml:space="preserve">Frederick </t>
  </si>
  <si>
    <t xml:space="preserve">Serena </t>
  </si>
  <si>
    <t>Sui</t>
  </si>
  <si>
    <t>Eunhyeok</t>
  </si>
  <si>
    <t>Su-ae</t>
  </si>
  <si>
    <t>Min-woo</t>
  </si>
  <si>
    <t>Basic Tax</t>
  </si>
  <si>
    <t>Excess over</t>
  </si>
  <si>
    <t>Additional</t>
  </si>
  <si>
    <t>Income Tax</t>
  </si>
  <si>
    <t xml:space="preserve">Identification No. </t>
  </si>
  <si>
    <t>Secretary</t>
  </si>
  <si>
    <t xml:space="preserve">NSJ Corporation </t>
  </si>
  <si>
    <t xml:space="preserve">Benefits </t>
  </si>
  <si>
    <t xml:space="preserve">Classification </t>
  </si>
  <si>
    <t xml:space="preserve">De Minimis Benefits </t>
  </si>
  <si>
    <t xml:space="preserve">Benefit </t>
  </si>
  <si>
    <t xml:space="preserve">Allowable Deductions </t>
  </si>
  <si>
    <t xml:space="preserve">Non-Rank and File </t>
  </si>
  <si>
    <t xml:space="preserve">Rank and File </t>
  </si>
  <si>
    <t>Fringe Benefits Tax</t>
  </si>
  <si>
    <t>Excess of De Minimis</t>
  </si>
  <si>
    <t xml:space="preserve">Medical Cash Allowance </t>
  </si>
  <si>
    <t xml:space="preserve">Rice Subsidy </t>
  </si>
  <si>
    <t>Clothing Allowance</t>
  </si>
  <si>
    <t xml:space="preserve">Total </t>
  </si>
  <si>
    <t xml:space="preserve">Excess of De Minimis </t>
  </si>
  <si>
    <t>Warehouse Associate</t>
  </si>
  <si>
    <t>Maintenance Technician</t>
  </si>
  <si>
    <t>Cleaning Staff</t>
  </si>
  <si>
    <t>Chief Financial Officer</t>
  </si>
  <si>
    <t>Security Guard</t>
  </si>
  <si>
    <t>Chief Executive Officer</t>
  </si>
  <si>
    <t>Sales Associate</t>
  </si>
  <si>
    <t>Fringe Benefits</t>
  </si>
  <si>
    <t>Payroll Period:  June 15-30, 2023</t>
  </si>
  <si>
    <t>Payslip</t>
  </si>
  <si>
    <t>Payroll Period: June 15-30, 2023</t>
  </si>
  <si>
    <t xml:space="preserve">Identification No.: </t>
  </si>
  <si>
    <t xml:space="preserve">Name of Employee: </t>
  </si>
  <si>
    <t xml:space="preserve">Position: </t>
  </si>
  <si>
    <t xml:space="preserve">Classification: </t>
  </si>
  <si>
    <t xml:space="preserve">Basic Pay </t>
  </si>
  <si>
    <t xml:space="preserve">Employee Benefits </t>
  </si>
  <si>
    <t xml:space="preserve">Total Pay </t>
  </si>
  <si>
    <t xml:space="preserve">Employee Contribution </t>
  </si>
  <si>
    <t xml:space="preserve">SSS  Contribution </t>
  </si>
  <si>
    <t xml:space="preserve">Philhealth Contribution </t>
  </si>
  <si>
    <t>Pag-ibig Contribution</t>
  </si>
  <si>
    <t>Withholding Tax</t>
  </si>
  <si>
    <t>Employee Advance</t>
  </si>
  <si>
    <t>Total Deductions</t>
  </si>
  <si>
    <t>Signature over Printed Name</t>
  </si>
  <si>
    <t>Prepared by:</t>
  </si>
  <si>
    <t>Approved by:</t>
  </si>
  <si>
    <t>Date: June 30, 2023</t>
  </si>
  <si>
    <t xml:space="preserve">          I hereby acknowledge receiving the above amount</t>
  </si>
  <si>
    <t>Net Pay</t>
  </si>
  <si>
    <t xml:space="preserve"> De Minimis</t>
  </si>
  <si>
    <t>Benefit (Excess)</t>
  </si>
  <si>
    <t>Dohwa Webster</t>
  </si>
  <si>
    <t>Eunhyeok Trujillo</t>
  </si>
  <si>
    <t>Serena Dillon</t>
  </si>
  <si>
    <t>Challe Stafford</t>
  </si>
  <si>
    <t>Iansa Russo</t>
  </si>
  <si>
    <t>Frederick Reyes</t>
  </si>
  <si>
    <t>Eiser Henderson</t>
  </si>
  <si>
    <t>Sui Harper</t>
  </si>
  <si>
    <t>Su-ae Morse</t>
  </si>
  <si>
    <t>Min-woo Vaughan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</si>
</sst>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2A498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C08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Continuous" vertical="distributed"/>
    </xf>
    <xf numFmtId="0" fontId="3" fillId="2" borderId="4" xfId="0" applyFont="1" applyFill="1" applyBorder="1" applyAlignment="1">
      <alignment horizontal="centerContinuous" vertical="distributed"/>
    </xf>
    <xf numFmtId="0" fontId="2" fillId="3" borderId="10" xfId="0" applyFont="1" applyFill="1" applyBorder="1" applyAlignment="1">
      <alignment horizontal="centerContinuous" vertical="center"/>
    </xf>
    <xf numFmtId="0" fontId="2" fillId="3" borderId="12" xfId="0" applyFont="1" applyFill="1" applyBorder="1" applyAlignment="1">
      <alignment horizontal="centerContinuous" vertical="center"/>
    </xf>
    <xf numFmtId="0" fontId="2" fillId="4" borderId="10" xfId="0" applyFont="1" applyFill="1" applyBorder="1" applyAlignment="1">
      <alignment horizontal="centerContinuous" vertical="center"/>
    </xf>
    <xf numFmtId="0" fontId="2" fillId="4" borderId="11" xfId="0" applyFont="1" applyFill="1" applyBorder="1" applyAlignment="1">
      <alignment horizontal="centerContinuous" vertical="center"/>
    </xf>
    <xf numFmtId="0" fontId="2" fillId="4" borderId="12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distributed"/>
    </xf>
    <xf numFmtId="0" fontId="3" fillId="2" borderId="6" xfId="0" applyFont="1" applyFill="1" applyBorder="1" applyAlignment="1">
      <alignment horizontal="centerContinuous" vertical="distributed"/>
    </xf>
    <xf numFmtId="0" fontId="2" fillId="5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Continuous" vertical="center" wrapText="1"/>
    </xf>
    <xf numFmtId="0" fontId="2" fillId="5" borderId="11" xfId="0" applyFont="1" applyFill="1" applyBorder="1" applyAlignment="1">
      <alignment horizontal="centerContinuous" vertical="center" wrapText="1"/>
    </xf>
    <xf numFmtId="0" fontId="2" fillId="5" borderId="12" xfId="0" applyFont="1" applyFill="1" applyBorder="1" applyAlignment="1">
      <alignment horizontal="centerContinuous" vertical="center" wrapText="1"/>
    </xf>
    <xf numFmtId="0" fontId="3" fillId="7" borderId="11" xfId="0" applyFont="1" applyFill="1" applyBorder="1" applyAlignment="1">
      <alignment horizontal="centerContinuous" vertical="center"/>
    </xf>
    <xf numFmtId="0" fontId="2" fillId="6" borderId="11" xfId="0" applyFont="1" applyFill="1" applyBorder="1" applyAlignment="1">
      <alignment horizontal="centerContinuous" vertical="center"/>
    </xf>
    <xf numFmtId="0" fontId="2" fillId="6" borderId="12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distributed"/>
    </xf>
    <xf numFmtId="0" fontId="3" fillId="2" borderId="9" xfId="0" applyFont="1" applyFill="1" applyBorder="1" applyAlignment="1">
      <alignment horizontal="centerContinuous" vertical="distributed"/>
    </xf>
    <xf numFmtId="0" fontId="3" fillId="7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0" fillId="10" borderId="1" xfId="1" applyFont="1" applyFill="1" applyBorder="1"/>
    <xf numFmtId="164" fontId="0" fillId="0" borderId="1" xfId="1" applyFont="1" applyBorder="1"/>
    <xf numFmtId="164" fontId="0" fillId="11" borderId="1" xfId="1" applyFont="1" applyFill="1" applyBorder="1"/>
    <xf numFmtId="0" fontId="4" fillId="0" borderId="0" xfId="0" applyFont="1"/>
    <xf numFmtId="0" fontId="4" fillId="13" borderId="4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14" borderId="24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  <xf numFmtId="0" fontId="5" fillId="14" borderId="26" xfId="0" applyFont="1" applyFill="1" applyBorder="1" applyAlignment="1">
      <alignment horizontal="center"/>
    </xf>
    <xf numFmtId="0" fontId="5" fillId="14" borderId="24" xfId="0" applyFont="1" applyFill="1" applyBorder="1"/>
    <xf numFmtId="0" fontId="4" fillId="15" borderId="26" xfId="0" applyFont="1" applyFill="1" applyBorder="1" applyAlignment="1">
      <alignment horizontal="center"/>
    </xf>
    <xf numFmtId="0" fontId="4" fillId="15" borderId="27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0" fontId="4" fillId="15" borderId="27" xfId="0" applyFont="1" applyFill="1" applyBorder="1"/>
    <xf numFmtId="0" fontId="4" fillId="15" borderId="16" xfId="0" applyFont="1" applyFill="1" applyBorder="1"/>
    <xf numFmtId="0" fontId="4" fillId="15" borderId="28" xfId="0" applyFont="1" applyFill="1" applyBorder="1"/>
    <xf numFmtId="0" fontId="4" fillId="15" borderId="29" xfId="0" applyFont="1" applyFill="1" applyBorder="1"/>
    <xf numFmtId="0" fontId="4" fillId="15" borderId="30" xfId="0" applyFont="1" applyFill="1" applyBorder="1"/>
    <xf numFmtId="0" fontId="4" fillId="15" borderId="31" xfId="0" applyFont="1" applyFill="1" applyBorder="1"/>
    <xf numFmtId="164" fontId="4" fillId="15" borderId="16" xfId="1" applyFont="1" applyFill="1" applyBorder="1"/>
    <xf numFmtId="164" fontId="4" fillId="15" borderId="32" xfId="1" applyFont="1" applyFill="1" applyBorder="1"/>
    <xf numFmtId="0" fontId="4" fillId="15" borderId="17" xfId="0" applyFont="1" applyFill="1" applyBorder="1"/>
    <xf numFmtId="164" fontId="4" fillId="15" borderId="33" xfId="0" applyNumberFormat="1" applyFont="1" applyFill="1" applyBorder="1"/>
    <xf numFmtId="164" fontId="4" fillId="15" borderId="35" xfId="1" applyFont="1" applyFill="1" applyBorder="1"/>
    <xf numFmtId="164" fontId="4" fillId="15" borderId="34" xfId="1" applyFont="1" applyFill="1" applyBorder="1"/>
    <xf numFmtId="164" fontId="4" fillId="15" borderId="36" xfId="1" applyFont="1" applyFill="1" applyBorder="1"/>
    <xf numFmtId="0" fontId="4" fillId="15" borderId="37" xfId="0" applyFont="1" applyFill="1" applyBorder="1"/>
    <xf numFmtId="43" fontId="4" fillId="15" borderId="19" xfId="0" applyNumberFormat="1" applyFont="1" applyFill="1" applyBorder="1"/>
    <xf numFmtId="0" fontId="4" fillId="15" borderId="20" xfId="0" applyFont="1" applyFill="1" applyBorder="1" applyAlignment="1">
      <alignment horizontal="center"/>
    </xf>
    <xf numFmtId="9" fontId="4" fillId="15" borderId="16" xfId="2" applyFont="1" applyFill="1" applyBorder="1"/>
    <xf numFmtId="43" fontId="4" fillId="15" borderId="16" xfId="0" applyNumberFormat="1" applyFont="1" applyFill="1" applyBorder="1"/>
    <xf numFmtId="43" fontId="4" fillId="15" borderId="28" xfId="0" applyNumberFormat="1" applyFont="1" applyFill="1" applyBorder="1"/>
    <xf numFmtId="0" fontId="4" fillId="15" borderId="29" xfId="0" applyFont="1" applyFill="1" applyBorder="1" applyAlignment="1">
      <alignment horizontal="center"/>
    </xf>
    <xf numFmtId="164" fontId="4" fillId="15" borderId="30" xfId="1" applyFont="1" applyFill="1" applyBorder="1"/>
    <xf numFmtId="9" fontId="4" fillId="15" borderId="30" xfId="2" applyFont="1" applyFill="1" applyBorder="1"/>
    <xf numFmtId="43" fontId="4" fillId="15" borderId="30" xfId="0" applyNumberFormat="1" applyFont="1" applyFill="1" applyBorder="1"/>
    <xf numFmtId="43" fontId="4" fillId="15" borderId="31" xfId="0" applyNumberFormat="1" applyFont="1" applyFill="1" applyBorder="1"/>
    <xf numFmtId="0" fontId="4" fillId="15" borderId="5" xfId="0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4" fillId="15" borderId="6" xfId="0" applyFont="1" applyFill="1" applyBorder="1" applyAlignment="1">
      <alignment horizontal="center"/>
    </xf>
    <xf numFmtId="164" fontId="4" fillId="15" borderId="5" xfId="1" applyFont="1" applyFill="1" applyBorder="1"/>
    <xf numFmtId="164" fontId="4" fillId="15" borderId="0" xfId="1" applyFont="1" applyFill="1" applyBorder="1"/>
    <xf numFmtId="9" fontId="4" fillId="15" borderId="0" xfId="0" applyNumberFormat="1" applyFont="1" applyFill="1"/>
    <xf numFmtId="164" fontId="4" fillId="15" borderId="6" xfId="1" applyFont="1" applyFill="1" applyBorder="1"/>
    <xf numFmtId="164" fontId="4" fillId="15" borderId="7" xfId="1" applyFont="1" applyFill="1" applyBorder="1"/>
    <xf numFmtId="164" fontId="4" fillId="15" borderId="8" xfId="1" applyFont="1" applyFill="1" applyBorder="1"/>
    <xf numFmtId="9" fontId="4" fillId="15" borderId="8" xfId="0" applyNumberFormat="1" applyFont="1" applyFill="1" applyBorder="1"/>
    <xf numFmtId="164" fontId="4" fillId="15" borderId="9" xfId="1" applyFont="1" applyFill="1" applyBorder="1"/>
    <xf numFmtId="0" fontId="5" fillId="15" borderId="27" xfId="0" applyFont="1" applyFill="1" applyBorder="1" applyAlignment="1">
      <alignment horizontal="center"/>
    </xf>
    <xf numFmtId="0" fontId="5" fillId="15" borderId="28" xfId="0" applyFont="1" applyFill="1" applyBorder="1" applyAlignment="1">
      <alignment horizontal="center"/>
    </xf>
    <xf numFmtId="3" fontId="4" fillId="15" borderId="28" xfId="0" applyNumberFormat="1" applyFont="1" applyFill="1" applyBorder="1"/>
    <xf numFmtId="0" fontId="4" fillId="15" borderId="31" xfId="0" applyFont="1" applyFill="1" applyBorder="1" applyAlignment="1">
      <alignment horizontal="center"/>
    </xf>
    <xf numFmtId="0" fontId="5" fillId="12" borderId="29" xfId="0" applyFont="1" applyFill="1" applyBorder="1"/>
    <xf numFmtId="0" fontId="4" fillId="15" borderId="17" xfId="0" applyFont="1" applyFill="1" applyBorder="1" applyAlignment="1">
      <alignment horizontal="center"/>
    </xf>
    <xf numFmtId="3" fontId="4" fillId="15" borderId="17" xfId="0" applyNumberFormat="1" applyFont="1" applyFill="1" applyBorder="1"/>
    <xf numFmtId="164" fontId="4" fillId="15" borderId="17" xfId="1" applyFont="1" applyFill="1" applyBorder="1"/>
    <xf numFmtId="0" fontId="5" fillId="12" borderId="23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 wrapText="1"/>
    </xf>
    <xf numFmtId="164" fontId="4" fillId="15" borderId="2" xfId="1" applyFont="1" applyFill="1" applyBorder="1"/>
    <xf numFmtId="164" fontId="4" fillId="15" borderId="3" xfId="1" applyFont="1" applyFill="1" applyBorder="1"/>
    <xf numFmtId="9" fontId="4" fillId="15" borderId="4" xfId="0" applyNumberFormat="1" applyFont="1" applyFill="1" applyBorder="1"/>
    <xf numFmtId="10" fontId="4" fillId="15" borderId="9" xfId="0" applyNumberFormat="1" applyFont="1" applyFill="1" applyBorder="1"/>
    <xf numFmtId="10" fontId="4" fillId="15" borderId="7" xfId="0" applyNumberFormat="1" applyFont="1" applyFill="1" applyBorder="1" applyAlignment="1">
      <alignment horizontal="center"/>
    </xf>
    <xf numFmtId="10" fontId="4" fillId="15" borderId="9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15" borderId="8" xfId="0" applyFon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9" fontId="4" fillId="15" borderId="3" xfId="0" applyNumberFormat="1" applyFont="1" applyFill="1" applyBorder="1"/>
    <xf numFmtId="9" fontId="4" fillId="15" borderId="6" xfId="0" applyNumberFormat="1" applyFont="1" applyFill="1" applyBorder="1"/>
    <xf numFmtId="0" fontId="4" fillId="15" borderId="0" xfId="0" applyFont="1" applyFill="1"/>
    <xf numFmtId="0" fontId="4" fillId="15" borderId="6" xfId="0" applyFont="1" applyFill="1" applyBorder="1"/>
    <xf numFmtId="0" fontId="4" fillId="15" borderId="8" xfId="0" applyFont="1" applyFill="1" applyBorder="1"/>
    <xf numFmtId="0" fontId="4" fillId="15" borderId="9" xfId="0" applyFont="1" applyFill="1" applyBorder="1"/>
    <xf numFmtId="0" fontId="5" fillId="14" borderId="1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0" fontId="5" fillId="14" borderId="7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/>
    </xf>
    <xf numFmtId="0" fontId="4" fillId="12" borderId="18" xfId="0" applyFont="1" applyFill="1" applyBorder="1"/>
    <xf numFmtId="0" fontId="5" fillId="12" borderId="18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164" fontId="4" fillId="12" borderId="18" xfId="1" applyFont="1" applyFill="1" applyBorder="1" applyAlignment="1">
      <alignment horizontal="center"/>
    </xf>
    <xf numFmtId="164" fontId="4" fillId="15" borderId="17" xfId="1" applyFont="1" applyFill="1" applyBorder="1" applyAlignment="1">
      <alignment horizontal="center"/>
    </xf>
    <xf numFmtId="164" fontId="4" fillId="15" borderId="16" xfId="1" applyFont="1" applyFill="1" applyBorder="1" applyAlignment="1">
      <alignment horizontal="center"/>
    </xf>
    <xf numFmtId="164" fontId="6" fillId="12" borderId="18" xfId="1" applyFont="1" applyFill="1" applyBorder="1" applyAlignment="1">
      <alignment horizontal="center"/>
    </xf>
    <xf numFmtId="0" fontId="5" fillId="15" borderId="17" xfId="0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/>
    </xf>
    <xf numFmtId="0" fontId="4" fillId="14" borderId="1" xfId="0" applyFont="1" applyFill="1" applyBorder="1"/>
    <xf numFmtId="0" fontId="5" fillId="14" borderId="13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 wrapText="1"/>
    </xf>
    <xf numFmtId="0" fontId="5" fillId="14" borderId="14" xfId="0" applyFont="1" applyFill="1" applyBorder="1" applyAlignment="1">
      <alignment horizontal="center" wrapText="1"/>
    </xf>
    <xf numFmtId="0" fontId="5" fillId="14" borderId="15" xfId="0" applyFont="1" applyFill="1" applyBorder="1" applyAlignment="1">
      <alignment horizontal="center" wrapText="1"/>
    </xf>
    <xf numFmtId="0" fontId="5" fillId="14" borderId="24" xfId="0" applyFont="1" applyFill="1" applyBorder="1" applyAlignment="1">
      <alignment horizontal="center"/>
    </xf>
    <xf numFmtId="0" fontId="5" fillId="14" borderId="26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/>
    </xf>
    <xf numFmtId="0" fontId="5" fillId="16" borderId="25" xfId="0" applyFont="1" applyFill="1" applyBorder="1" applyAlignment="1">
      <alignment horizontal="center"/>
    </xf>
    <xf numFmtId="0" fontId="5" fillId="16" borderId="26" xfId="0" applyFont="1" applyFill="1" applyBorder="1" applyAlignment="1">
      <alignment horizontal="center"/>
    </xf>
    <xf numFmtId="0" fontId="5" fillId="16" borderId="27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5" fillId="16" borderId="28" xfId="0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4" fillId="15" borderId="28" xfId="0" applyFont="1" applyFill="1" applyBorder="1" applyAlignment="1">
      <alignment horizontal="left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0</xdr:rowOff>
    </xdr:from>
    <xdr:to>
      <xdr:col>9</xdr:col>
      <xdr:colOff>571500</xdr:colOff>
      <xdr:row>29</xdr:row>
      <xdr:rowOff>19050</xdr:rowOff>
    </xdr:to>
    <xdr:pic>
      <xdr:nvPicPr>
        <xdr:cNvPr id="2" name="Picture 1" descr="PhilHealth Contribution Table - Tax Calculator Philippines">
          <a:extLst>
            <a:ext uri="{FF2B5EF4-FFF2-40B4-BE49-F238E27FC236}">
              <a16:creationId xmlns:a16="http://schemas.microsoft.com/office/drawing/2014/main" id="{AB276BDA-B7FE-47DD-BA7D-EDA3F53D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571500"/>
          <a:ext cx="6096000" cy="497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9AD8-1F0B-4BE5-9BBC-044843421443}">
  <sheetPr>
    <tabColor theme="8"/>
  </sheetPr>
  <dimension ref="A1:AC18"/>
  <sheetViews>
    <sheetView topLeftCell="H1" zoomScale="89" zoomScaleNormal="89" workbookViewId="0">
      <selection activeCell="P6" sqref="P6"/>
    </sheetView>
  </sheetViews>
  <sheetFormatPr defaultRowHeight="15" x14ac:dyDescent="0.25"/>
  <cols>
    <col min="2" max="5" width="24.7109375" customWidth="1"/>
    <col min="6" max="27" width="15.7109375" customWidth="1"/>
  </cols>
  <sheetData>
    <row r="1" spans="1:29" ht="15.75" thickBot="1" x14ac:dyDescent="0.3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15.75" thickBot="1" x14ac:dyDescent="0.3">
      <c r="A2" s="32" t="s">
        <v>87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33" t="s">
        <v>7</v>
      </c>
      <c r="N2" s="134"/>
      <c r="O2" s="134"/>
      <c r="P2" s="135" t="s">
        <v>12</v>
      </c>
      <c r="Q2" s="130" t="s">
        <v>13</v>
      </c>
      <c r="R2" s="131"/>
      <c r="S2" s="132"/>
      <c r="T2" s="39"/>
      <c r="U2" s="130" t="s">
        <v>22</v>
      </c>
      <c r="V2" s="131"/>
      <c r="W2" s="131"/>
      <c r="X2" s="132"/>
      <c r="Y2" s="130" t="s">
        <v>6</v>
      </c>
      <c r="Z2" s="131"/>
      <c r="AA2" s="132"/>
      <c r="AB2" s="32"/>
      <c r="AC2" s="32"/>
    </row>
    <row r="3" spans="1:29" ht="15.75" thickBot="1" x14ac:dyDescent="0.3">
      <c r="A3" s="32"/>
      <c r="B3" s="38"/>
      <c r="C3" s="38"/>
      <c r="D3" s="38"/>
      <c r="E3" s="38"/>
      <c r="F3" s="38"/>
      <c r="G3" s="38"/>
      <c r="H3" s="38"/>
      <c r="I3" s="38"/>
      <c r="J3" s="38"/>
      <c r="K3" s="112" t="s">
        <v>37</v>
      </c>
      <c r="L3" s="113" t="s">
        <v>110</v>
      </c>
      <c r="M3" s="116" t="s">
        <v>8</v>
      </c>
      <c r="N3" s="113" t="s">
        <v>10</v>
      </c>
      <c r="O3" s="113" t="s">
        <v>11</v>
      </c>
      <c r="P3" s="136"/>
      <c r="Q3" s="113" t="s">
        <v>14</v>
      </c>
      <c r="R3" s="113" t="s">
        <v>86</v>
      </c>
      <c r="S3" s="113" t="s">
        <v>16</v>
      </c>
      <c r="T3" s="113" t="s">
        <v>18</v>
      </c>
      <c r="U3" s="130" t="s">
        <v>8</v>
      </c>
      <c r="V3" s="132"/>
      <c r="W3" s="113" t="s">
        <v>10</v>
      </c>
      <c r="X3" s="113" t="s">
        <v>11</v>
      </c>
      <c r="Y3" s="113" t="s">
        <v>23</v>
      </c>
      <c r="Z3" s="128" t="s">
        <v>10</v>
      </c>
      <c r="AA3" s="128" t="s">
        <v>11</v>
      </c>
      <c r="AB3" s="32"/>
      <c r="AC3" s="32"/>
    </row>
    <row r="4" spans="1:29" ht="15.75" thickBot="1" x14ac:dyDescent="0.3">
      <c r="A4" s="127"/>
      <c r="B4" s="110" t="s">
        <v>0</v>
      </c>
      <c r="C4" s="110" t="s">
        <v>1</v>
      </c>
      <c r="D4" s="110" t="s">
        <v>62</v>
      </c>
      <c r="E4" s="110" t="s">
        <v>66</v>
      </c>
      <c r="F4" s="110" t="s">
        <v>2</v>
      </c>
      <c r="G4" s="110" t="s">
        <v>3</v>
      </c>
      <c r="H4" s="110" t="s">
        <v>4</v>
      </c>
      <c r="I4" s="110" t="s">
        <v>5</v>
      </c>
      <c r="J4" s="111" t="s">
        <v>6</v>
      </c>
      <c r="K4" s="114" t="s">
        <v>65</v>
      </c>
      <c r="L4" s="115" t="s">
        <v>111</v>
      </c>
      <c r="M4" s="117" t="s">
        <v>9</v>
      </c>
      <c r="N4" s="115" t="s">
        <v>9</v>
      </c>
      <c r="O4" s="115" t="s">
        <v>9</v>
      </c>
      <c r="P4" s="137"/>
      <c r="Q4" s="115" t="s">
        <v>15</v>
      </c>
      <c r="R4" s="115" t="s">
        <v>15</v>
      </c>
      <c r="S4" s="115" t="s">
        <v>17</v>
      </c>
      <c r="T4" s="115" t="s">
        <v>19</v>
      </c>
      <c r="U4" s="110" t="s">
        <v>20</v>
      </c>
      <c r="V4" s="110" t="s">
        <v>21</v>
      </c>
      <c r="W4" s="115" t="s">
        <v>20</v>
      </c>
      <c r="X4" s="115" t="s">
        <v>20</v>
      </c>
      <c r="Y4" s="115" t="s">
        <v>24</v>
      </c>
      <c r="Z4" s="129"/>
      <c r="AA4" s="129"/>
      <c r="AB4" s="35"/>
      <c r="AC4" s="35"/>
    </row>
    <row r="5" spans="1:29" x14ac:dyDescent="0.25">
      <c r="A5" s="125">
        <v>1</v>
      </c>
      <c r="B5" s="87" t="s">
        <v>112</v>
      </c>
      <c r="C5" s="87" t="s">
        <v>25</v>
      </c>
      <c r="D5" s="87">
        <v>607989037</v>
      </c>
      <c r="E5" s="87" t="s">
        <v>70</v>
      </c>
      <c r="F5" s="122">
        <v>75000</v>
      </c>
      <c r="G5" s="122">
        <f>F5/2</f>
        <v>37500</v>
      </c>
      <c r="H5" s="122">
        <v>2000</v>
      </c>
      <c r="I5" s="122">
        <v>850</v>
      </c>
      <c r="J5" s="122">
        <f>G5+H5+I5</f>
        <v>40350</v>
      </c>
      <c r="K5" s="88">
        <f>'Employee Benefits'!G9</f>
        <v>3800</v>
      </c>
      <c r="L5" s="122">
        <f>'Employee Benefits'!H9</f>
        <v>0</v>
      </c>
      <c r="M5" s="122">
        <f>VLOOKUP(J5,SSS_Table,6)</f>
        <v>900</v>
      </c>
      <c r="N5" s="122">
        <f t="shared" ref="N5:N14" si="0">VLOOKUP(J5,PH_Table,3)*J5/2</f>
        <v>907.875</v>
      </c>
      <c r="O5" s="122">
        <f t="shared" ref="O5:O14" si="1">VLOOKUP(J5,PAG_Table,4)</f>
        <v>100</v>
      </c>
      <c r="P5" s="122">
        <f>J5+L5-M5-N5-O5</f>
        <v>38442.125</v>
      </c>
      <c r="Q5" s="122">
        <f>'Semi-Monthly Tax Table'!H13</f>
        <v>6949.7375000000002</v>
      </c>
      <c r="R5" s="122">
        <f>'Employee Benefits'!I9</f>
        <v>2046.153846153846</v>
      </c>
      <c r="S5" s="122">
        <v>5000</v>
      </c>
      <c r="T5" s="122">
        <f>J5+K5-M5-N5-O5-Q5-R5-S5</f>
        <v>28246.233653846153</v>
      </c>
      <c r="U5" s="122">
        <f t="shared" ref="U5:U14" si="2">VLOOKUP(J5,SSS_Table,5)</f>
        <v>1900</v>
      </c>
      <c r="V5" s="122">
        <f t="shared" ref="V5:V14" si="3">VLOOKUP(J5,SSS_Table,8)</f>
        <v>30</v>
      </c>
      <c r="W5" s="122">
        <f t="shared" ref="W5:W14" si="4">VLOOKUP(J5,PH_Table,3)*J5/2</f>
        <v>907.875</v>
      </c>
      <c r="X5" s="122">
        <f t="shared" ref="X5:X14" si="5">VLOOKUP(J5,PAG_Table,4)</f>
        <v>100</v>
      </c>
      <c r="Y5" s="122">
        <f t="shared" ref="Y5:Y14" si="6">M5+U5+V5</f>
        <v>2830</v>
      </c>
      <c r="Z5" s="122">
        <f t="shared" ref="Z5:Z14" si="7">N5+W5</f>
        <v>1815.75</v>
      </c>
      <c r="AA5" s="122">
        <f t="shared" ref="AA5:AA14" si="8">O5+X5</f>
        <v>200</v>
      </c>
      <c r="AB5" s="35"/>
      <c r="AC5" s="35"/>
    </row>
    <row r="6" spans="1:29" x14ac:dyDescent="0.25">
      <c r="A6" s="126">
        <v>2</v>
      </c>
      <c r="B6" s="46" t="s">
        <v>113</v>
      </c>
      <c r="C6" s="46" t="s">
        <v>84</v>
      </c>
      <c r="D6" s="46">
        <v>698072430</v>
      </c>
      <c r="E6" s="87" t="s">
        <v>70</v>
      </c>
      <c r="F6" s="123">
        <v>150000</v>
      </c>
      <c r="G6" s="122">
        <f t="shared" ref="G6:G13" si="9">F6/2</f>
        <v>75000</v>
      </c>
      <c r="H6" s="123">
        <v>1700</v>
      </c>
      <c r="I6" s="123">
        <v>630</v>
      </c>
      <c r="J6" s="122">
        <f>G6+H6+I6</f>
        <v>77330</v>
      </c>
      <c r="K6" s="88">
        <f>'Employee Benefits'!G10</f>
        <v>3910</v>
      </c>
      <c r="L6" s="122">
        <f>'Employee Benefits'!H10</f>
        <v>0</v>
      </c>
      <c r="M6" s="122">
        <f t="shared" ref="M6:M14" si="10">VLOOKUP(J6,SSS_Table,6)</f>
        <v>900</v>
      </c>
      <c r="N6" s="122">
        <f t="shared" si="0"/>
        <v>1739.925</v>
      </c>
      <c r="O6" s="122">
        <f t="shared" si="1"/>
        <v>100</v>
      </c>
      <c r="P6" s="122">
        <f t="shared" ref="P6:P14" si="11">J6+L6-M6-N6-O6</f>
        <v>74590.074999999997</v>
      </c>
      <c r="Q6" s="122">
        <f>'Semi-Monthly Tax Table'!H14</f>
        <v>17794.122499999998</v>
      </c>
      <c r="R6" s="122">
        <f>'Employee Benefits'!I10</f>
        <v>2105.3846153846152</v>
      </c>
      <c r="S6" s="123">
        <v>3500</v>
      </c>
      <c r="T6" s="122">
        <f t="shared" ref="T6:T14" si="12">J6+K6-M6-N6-O6-Q6-R6-S6</f>
        <v>55100.567884615382</v>
      </c>
      <c r="U6" s="122">
        <f t="shared" si="2"/>
        <v>1900</v>
      </c>
      <c r="V6" s="122">
        <f t="shared" si="3"/>
        <v>30</v>
      </c>
      <c r="W6" s="122">
        <f t="shared" si="4"/>
        <v>1739.925</v>
      </c>
      <c r="X6" s="122">
        <f t="shared" si="5"/>
        <v>100</v>
      </c>
      <c r="Y6" s="122">
        <f t="shared" si="6"/>
        <v>2830</v>
      </c>
      <c r="Z6" s="122">
        <f t="shared" si="7"/>
        <v>3479.85</v>
      </c>
      <c r="AA6" s="122">
        <f t="shared" si="8"/>
        <v>200</v>
      </c>
      <c r="AB6" s="35"/>
      <c r="AC6" s="35"/>
    </row>
    <row r="7" spans="1:29" x14ac:dyDescent="0.25">
      <c r="A7" s="126">
        <v>3</v>
      </c>
      <c r="B7" s="46" t="s">
        <v>114</v>
      </c>
      <c r="C7" s="46" t="s">
        <v>85</v>
      </c>
      <c r="D7" s="46">
        <v>661005825</v>
      </c>
      <c r="E7" s="87" t="s">
        <v>71</v>
      </c>
      <c r="F7" s="123">
        <v>40000</v>
      </c>
      <c r="G7" s="122">
        <f t="shared" si="9"/>
        <v>20000</v>
      </c>
      <c r="H7" s="123">
        <v>1800</v>
      </c>
      <c r="I7" s="123">
        <v>720</v>
      </c>
      <c r="J7" s="122">
        <f t="shared" ref="J7:J14" si="13">G7+H7+I7</f>
        <v>22520</v>
      </c>
      <c r="K7" s="88">
        <f>'Employee Benefits'!G11</f>
        <v>1900</v>
      </c>
      <c r="L7" s="122">
        <f>'Employee Benefits'!H11</f>
        <v>400</v>
      </c>
      <c r="M7" s="122">
        <f t="shared" si="10"/>
        <v>900</v>
      </c>
      <c r="N7" s="122">
        <f t="shared" si="0"/>
        <v>506.7</v>
      </c>
      <c r="O7" s="122">
        <f t="shared" si="1"/>
        <v>100</v>
      </c>
      <c r="P7" s="122">
        <f t="shared" si="11"/>
        <v>21413.3</v>
      </c>
      <c r="Q7" s="122">
        <f>'Semi-Monthly Tax Table'!H15</f>
        <v>2436.5749999999998</v>
      </c>
      <c r="R7" s="122">
        <f>'Employee Benefits'!I11</f>
        <v>0</v>
      </c>
      <c r="S7" s="123">
        <v>2150</v>
      </c>
      <c r="T7" s="122">
        <f t="shared" si="12"/>
        <v>18326.724999999999</v>
      </c>
      <c r="U7" s="122">
        <f t="shared" si="2"/>
        <v>1900</v>
      </c>
      <c r="V7" s="122">
        <f t="shared" si="3"/>
        <v>30</v>
      </c>
      <c r="W7" s="122">
        <f t="shared" si="4"/>
        <v>506.7</v>
      </c>
      <c r="X7" s="122">
        <f t="shared" si="5"/>
        <v>100</v>
      </c>
      <c r="Y7" s="122">
        <f t="shared" si="6"/>
        <v>2830</v>
      </c>
      <c r="Z7" s="122">
        <f t="shared" si="7"/>
        <v>1013.4</v>
      </c>
      <c r="AA7" s="122">
        <f t="shared" si="8"/>
        <v>200</v>
      </c>
      <c r="AB7" s="35"/>
      <c r="AC7" s="35"/>
    </row>
    <row r="8" spans="1:29" x14ac:dyDescent="0.25">
      <c r="A8" s="126">
        <v>4</v>
      </c>
      <c r="B8" s="46" t="s">
        <v>115</v>
      </c>
      <c r="C8" s="46" t="s">
        <v>79</v>
      </c>
      <c r="D8" s="46">
        <v>620278288</v>
      </c>
      <c r="E8" s="87" t="s">
        <v>71</v>
      </c>
      <c r="F8" s="123">
        <v>38000</v>
      </c>
      <c r="G8" s="122">
        <f t="shared" si="9"/>
        <v>19000</v>
      </c>
      <c r="H8" s="123">
        <v>2300</v>
      </c>
      <c r="I8" s="123">
        <v>990</v>
      </c>
      <c r="J8" s="122">
        <f t="shared" si="13"/>
        <v>22290</v>
      </c>
      <c r="K8" s="88">
        <f>'Employee Benefits'!G12</f>
        <v>2050</v>
      </c>
      <c r="L8" s="122">
        <f>'Employee Benefits'!H12</f>
        <v>550</v>
      </c>
      <c r="M8" s="122">
        <f t="shared" si="10"/>
        <v>900</v>
      </c>
      <c r="N8" s="122">
        <f t="shared" si="0"/>
        <v>501.52499999999998</v>
      </c>
      <c r="O8" s="122">
        <f t="shared" si="1"/>
        <v>100</v>
      </c>
      <c r="P8" s="122">
        <f t="shared" si="11"/>
        <v>21338.474999999999</v>
      </c>
      <c r="Q8" s="122">
        <f>'Semi-Monthly Tax Table'!H16</f>
        <v>2417.8687499999996</v>
      </c>
      <c r="R8" s="122">
        <f>'Employee Benefits'!I12</f>
        <v>0</v>
      </c>
      <c r="S8" s="123">
        <v>2000</v>
      </c>
      <c r="T8" s="122">
        <f t="shared" si="12"/>
        <v>18420.606249999997</v>
      </c>
      <c r="U8" s="122">
        <f t="shared" si="2"/>
        <v>1900</v>
      </c>
      <c r="V8" s="122">
        <f t="shared" si="3"/>
        <v>30</v>
      </c>
      <c r="W8" s="122">
        <f t="shared" si="4"/>
        <v>501.52499999999998</v>
      </c>
      <c r="X8" s="122">
        <f t="shared" si="5"/>
        <v>100</v>
      </c>
      <c r="Y8" s="122">
        <f t="shared" si="6"/>
        <v>2830</v>
      </c>
      <c r="Z8" s="122">
        <f t="shared" si="7"/>
        <v>1003.05</v>
      </c>
      <c r="AA8" s="122">
        <f t="shared" si="8"/>
        <v>200</v>
      </c>
      <c r="AB8" s="35"/>
      <c r="AC8" s="35"/>
    </row>
    <row r="9" spans="1:29" x14ac:dyDescent="0.25">
      <c r="A9" s="126">
        <v>5</v>
      </c>
      <c r="B9" s="46" t="s">
        <v>116</v>
      </c>
      <c r="C9" s="46" t="s">
        <v>82</v>
      </c>
      <c r="D9" s="46">
        <v>629278512</v>
      </c>
      <c r="E9" s="87" t="s">
        <v>70</v>
      </c>
      <c r="F9" s="123">
        <v>145000</v>
      </c>
      <c r="G9" s="122">
        <f t="shared" si="9"/>
        <v>72500</v>
      </c>
      <c r="H9" s="123">
        <v>1950</v>
      </c>
      <c r="I9" s="123">
        <v>1000</v>
      </c>
      <c r="J9" s="122">
        <f t="shared" si="13"/>
        <v>75450</v>
      </c>
      <c r="K9" s="88">
        <f>'Employee Benefits'!G13</f>
        <v>3750</v>
      </c>
      <c r="L9" s="122">
        <f>'Employee Benefits'!H13</f>
        <v>0</v>
      </c>
      <c r="M9" s="122">
        <f t="shared" si="10"/>
        <v>900</v>
      </c>
      <c r="N9" s="122">
        <f t="shared" si="0"/>
        <v>1697.625</v>
      </c>
      <c r="O9" s="122">
        <f t="shared" si="1"/>
        <v>100</v>
      </c>
      <c r="P9" s="122">
        <f t="shared" si="11"/>
        <v>72752.375</v>
      </c>
      <c r="Q9" s="122">
        <f>'Semi-Monthly Tax Table'!H17</f>
        <v>17242.8125</v>
      </c>
      <c r="R9" s="122">
        <f>'Employee Benefits'!I13</f>
        <v>2019.2307692307688</v>
      </c>
      <c r="S9" s="123">
        <v>1800</v>
      </c>
      <c r="T9" s="122">
        <f t="shared" si="12"/>
        <v>55440.331730769234</v>
      </c>
      <c r="U9" s="122">
        <f t="shared" si="2"/>
        <v>1900</v>
      </c>
      <c r="V9" s="122">
        <f t="shared" si="3"/>
        <v>30</v>
      </c>
      <c r="W9" s="122">
        <f t="shared" si="4"/>
        <v>1697.625</v>
      </c>
      <c r="X9" s="122">
        <f t="shared" si="5"/>
        <v>100</v>
      </c>
      <c r="Y9" s="122">
        <f t="shared" si="6"/>
        <v>2830</v>
      </c>
      <c r="Z9" s="122">
        <f t="shared" si="7"/>
        <v>3395.25</v>
      </c>
      <c r="AA9" s="122">
        <f t="shared" si="8"/>
        <v>200</v>
      </c>
      <c r="AB9" s="35"/>
      <c r="AC9" s="35"/>
    </row>
    <row r="10" spans="1:29" x14ac:dyDescent="0.25">
      <c r="A10" s="126">
        <v>6</v>
      </c>
      <c r="B10" s="46" t="s">
        <v>117</v>
      </c>
      <c r="C10" s="46" t="s">
        <v>81</v>
      </c>
      <c r="D10" s="46">
        <v>637056526</v>
      </c>
      <c r="E10" s="87" t="s">
        <v>71</v>
      </c>
      <c r="F10" s="123">
        <v>23000</v>
      </c>
      <c r="G10" s="122">
        <f t="shared" si="9"/>
        <v>11500</v>
      </c>
      <c r="H10" s="123">
        <v>500</v>
      </c>
      <c r="I10" s="123">
        <v>220</v>
      </c>
      <c r="J10" s="122">
        <f t="shared" si="13"/>
        <v>12220</v>
      </c>
      <c r="K10" s="88">
        <f>'Employee Benefits'!G14</f>
        <v>2100</v>
      </c>
      <c r="L10" s="122">
        <f>'Employee Benefits'!H14</f>
        <v>600</v>
      </c>
      <c r="M10" s="122">
        <f t="shared" si="10"/>
        <v>540</v>
      </c>
      <c r="N10" s="122">
        <f t="shared" si="0"/>
        <v>274.95</v>
      </c>
      <c r="O10" s="122">
        <f t="shared" si="1"/>
        <v>100</v>
      </c>
      <c r="P10" s="122">
        <f t="shared" si="11"/>
        <v>11905.05</v>
      </c>
      <c r="Q10" s="122">
        <f>'Semi-Monthly Tax Table'!H18</f>
        <v>297.60999999999984</v>
      </c>
      <c r="R10" s="122">
        <f>'Employee Benefits'!I14</f>
        <v>0</v>
      </c>
      <c r="S10" s="123">
        <v>5000</v>
      </c>
      <c r="T10" s="122">
        <f t="shared" si="12"/>
        <v>8107.4399999999987</v>
      </c>
      <c r="U10" s="122">
        <f t="shared" si="2"/>
        <v>1140</v>
      </c>
      <c r="V10" s="122">
        <f t="shared" si="3"/>
        <v>10</v>
      </c>
      <c r="W10" s="122">
        <f t="shared" si="4"/>
        <v>274.95</v>
      </c>
      <c r="X10" s="122">
        <f t="shared" si="5"/>
        <v>100</v>
      </c>
      <c r="Y10" s="122">
        <f t="shared" si="6"/>
        <v>1690</v>
      </c>
      <c r="Z10" s="122">
        <f t="shared" si="7"/>
        <v>549.9</v>
      </c>
      <c r="AA10" s="122">
        <f t="shared" si="8"/>
        <v>200</v>
      </c>
      <c r="AB10" s="35"/>
      <c r="AC10" s="35"/>
    </row>
    <row r="11" spans="1:29" x14ac:dyDescent="0.25">
      <c r="A11" s="126">
        <v>7</v>
      </c>
      <c r="B11" s="46" t="s">
        <v>118</v>
      </c>
      <c r="C11" s="46" t="s">
        <v>47</v>
      </c>
      <c r="D11" s="46">
        <v>658370346</v>
      </c>
      <c r="E11" s="87" t="s">
        <v>70</v>
      </c>
      <c r="F11" s="123">
        <v>145000</v>
      </c>
      <c r="G11" s="122">
        <f t="shared" si="9"/>
        <v>72500</v>
      </c>
      <c r="H11" s="123">
        <v>1650</v>
      </c>
      <c r="I11" s="123">
        <v>330</v>
      </c>
      <c r="J11" s="122">
        <f t="shared" si="13"/>
        <v>74480</v>
      </c>
      <c r="K11" s="88">
        <f>'Employee Benefits'!G15</f>
        <v>3910</v>
      </c>
      <c r="L11" s="122">
        <f>'Employee Benefits'!H15</f>
        <v>0</v>
      </c>
      <c r="M11" s="122">
        <f t="shared" si="10"/>
        <v>900</v>
      </c>
      <c r="N11" s="122">
        <f t="shared" si="0"/>
        <v>1675.8</v>
      </c>
      <c r="O11" s="122">
        <f t="shared" si="1"/>
        <v>100</v>
      </c>
      <c r="P11" s="122">
        <f t="shared" si="11"/>
        <v>71804.2</v>
      </c>
      <c r="Q11" s="122">
        <f>'Semi-Monthly Tax Table'!H19</f>
        <v>16958.36</v>
      </c>
      <c r="R11" s="122">
        <f>'Employee Benefits'!I15</f>
        <v>2105.3846153846152</v>
      </c>
      <c r="S11" s="123">
        <v>2300</v>
      </c>
      <c r="T11" s="122">
        <f t="shared" si="12"/>
        <v>54350.455384615379</v>
      </c>
      <c r="U11" s="122">
        <f t="shared" si="2"/>
        <v>1900</v>
      </c>
      <c r="V11" s="122">
        <f t="shared" si="3"/>
        <v>30</v>
      </c>
      <c r="W11" s="122">
        <f t="shared" si="4"/>
        <v>1675.8</v>
      </c>
      <c r="X11" s="122">
        <f t="shared" si="5"/>
        <v>100</v>
      </c>
      <c r="Y11" s="122">
        <f t="shared" si="6"/>
        <v>2830</v>
      </c>
      <c r="Z11" s="122">
        <f t="shared" si="7"/>
        <v>3351.6</v>
      </c>
      <c r="AA11" s="122">
        <f t="shared" si="8"/>
        <v>200</v>
      </c>
      <c r="AB11" s="35"/>
      <c r="AC11" s="35"/>
    </row>
    <row r="12" spans="1:29" x14ac:dyDescent="0.25">
      <c r="A12" s="126">
        <v>8</v>
      </c>
      <c r="B12" s="46" t="s">
        <v>119</v>
      </c>
      <c r="C12" s="46" t="s">
        <v>63</v>
      </c>
      <c r="D12" s="46">
        <v>635504255</v>
      </c>
      <c r="E12" s="87" t="s">
        <v>71</v>
      </c>
      <c r="F12" s="123">
        <v>30000</v>
      </c>
      <c r="G12" s="122">
        <f t="shared" si="9"/>
        <v>15000</v>
      </c>
      <c r="H12" s="123">
        <v>100</v>
      </c>
      <c r="I12" s="123">
        <v>50</v>
      </c>
      <c r="J12" s="122">
        <f t="shared" si="13"/>
        <v>15150</v>
      </c>
      <c r="K12" s="88">
        <f>'Employee Benefits'!G16</f>
        <v>2000</v>
      </c>
      <c r="L12" s="122">
        <f>'Employee Benefits'!H16</f>
        <v>500</v>
      </c>
      <c r="M12" s="122">
        <f t="shared" si="10"/>
        <v>675</v>
      </c>
      <c r="N12" s="122">
        <f t="shared" si="0"/>
        <v>340.875</v>
      </c>
      <c r="O12" s="122">
        <f t="shared" si="1"/>
        <v>100</v>
      </c>
      <c r="P12" s="122">
        <f t="shared" si="11"/>
        <v>14534.125</v>
      </c>
      <c r="Q12" s="122">
        <f>'Semi-Monthly Tax Table'!H20</f>
        <v>823.42500000000007</v>
      </c>
      <c r="R12" s="122">
        <f>'Employee Benefits'!I16</f>
        <v>0</v>
      </c>
      <c r="S12" s="123">
        <v>1300</v>
      </c>
      <c r="T12" s="122">
        <f t="shared" si="12"/>
        <v>13910.7</v>
      </c>
      <c r="U12" s="122">
        <f t="shared" si="2"/>
        <v>1425</v>
      </c>
      <c r="V12" s="122">
        <f t="shared" si="3"/>
        <v>30</v>
      </c>
      <c r="W12" s="122">
        <f t="shared" si="4"/>
        <v>340.875</v>
      </c>
      <c r="X12" s="122">
        <f t="shared" si="5"/>
        <v>100</v>
      </c>
      <c r="Y12" s="122">
        <f t="shared" si="6"/>
        <v>2130</v>
      </c>
      <c r="Z12" s="122">
        <f t="shared" si="7"/>
        <v>681.75</v>
      </c>
      <c r="AA12" s="122">
        <f t="shared" si="8"/>
        <v>200</v>
      </c>
      <c r="AB12" s="35"/>
      <c r="AC12" s="35"/>
    </row>
    <row r="13" spans="1:29" x14ac:dyDescent="0.25">
      <c r="A13" s="126">
        <v>9</v>
      </c>
      <c r="B13" s="46" t="s">
        <v>120</v>
      </c>
      <c r="C13" s="46" t="s">
        <v>80</v>
      </c>
      <c r="D13" s="46">
        <v>644804180</v>
      </c>
      <c r="E13" s="87" t="s">
        <v>71</v>
      </c>
      <c r="F13" s="123">
        <v>38000</v>
      </c>
      <c r="G13" s="122">
        <f t="shared" si="9"/>
        <v>19000</v>
      </c>
      <c r="H13" s="123">
        <v>150</v>
      </c>
      <c r="I13" s="123">
        <v>75</v>
      </c>
      <c r="J13" s="122">
        <f t="shared" si="13"/>
        <v>19225</v>
      </c>
      <c r="K13" s="88">
        <f>'Employee Benefits'!G17</f>
        <v>2050</v>
      </c>
      <c r="L13" s="122">
        <f>'Employee Benefits'!H17</f>
        <v>550</v>
      </c>
      <c r="M13" s="122">
        <f t="shared" si="10"/>
        <v>855</v>
      </c>
      <c r="N13" s="122">
        <f t="shared" si="0"/>
        <v>432.5625</v>
      </c>
      <c r="O13" s="122">
        <f t="shared" si="1"/>
        <v>100</v>
      </c>
      <c r="P13" s="122">
        <f t="shared" si="11"/>
        <v>18387.4375</v>
      </c>
      <c r="Q13" s="122">
        <f>'Semi-Monthly Tax Table'!H21</f>
        <v>1680.109375</v>
      </c>
      <c r="R13" s="122">
        <f>'Employee Benefits'!I17</f>
        <v>0</v>
      </c>
      <c r="S13" s="123">
        <v>2000</v>
      </c>
      <c r="T13" s="122">
        <f t="shared" si="12"/>
        <v>16207.328125</v>
      </c>
      <c r="U13" s="122">
        <f t="shared" si="2"/>
        <v>1805</v>
      </c>
      <c r="V13" s="122">
        <f t="shared" si="3"/>
        <v>30</v>
      </c>
      <c r="W13" s="122">
        <f t="shared" si="4"/>
        <v>432.5625</v>
      </c>
      <c r="X13" s="122">
        <f t="shared" si="5"/>
        <v>100</v>
      </c>
      <c r="Y13" s="122">
        <f t="shared" si="6"/>
        <v>2690</v>
      </c>
      <c r="Z13" s="122">
        <f t="shared" si="7"/>
        <v>865.125</v>
      </c>
      <c r="AA13" s="122">
        <f t="shared" si="8"/>
        <v>200</v>
      </c>
      <c r="AB13" s="35"/>
      <c r="AC13" s="35"/>
    </row>
    <row r="14" spans="1:29" x14ac:dyDescent="0.25">
      <c r="A14" s="126">
        <v>10</v>
      </c>
      <c r="B14" s="46" t="s">
        <v>121</v>
      </c>
      <c r="C14" s="46" t="s">
        <v>83</v>
      </c>
      <c r="D14" s="46">
        <v>644383544</v>
      </c>
      <c r="E14" s="87" t="s">
        <v>71</v>
      </c>
      <c r="F14" s="123">
        <v>30000</v>
      </c>
      <c r="G14" s="122">
        <f>F14/2</f>
        <v>15000</v>
      </c>
      <c r="H14" s="123">
        <v>125</v>
      </c>
      <c r="I14" s="123">
        <v>60</v>
      </c>
      <c r="J14" s="122">
        <f t="shared" si="13"/>
        <v>15185</v>
      </c>
      <c r="K14" s="88">
        <f>'Employee Benefits'!G18</f>
        <v>2100</v>
      </c>
      <c r="L14" s="122">
        <f>'Employee Benefits'!H18</f>
        <v>600</v>
      </c>
      <c r="M14" s="122">
        <f t="shared" si="10"/>
        <v>675</v>
      </c>
      <c r="N14" s="122">
        <f t="shared" si="0"/>
        <v>341.66249999999997</v>
      </c>
      <c r="O14" s="122">
        <f t="shared" si="1"/>
        <v>100</v>
      </c>
      <c r="P14" s="122">
        <f t="shared" si="11"/>
        <v>14668.3375</v>
      </c>
      <c r="Q14" s="122">
        <f>'Semi-Monthly Tax Table'!H22</f>
        <v>850.26749999999993</v>
      </c>
      <c r="R14" s="122">
        <f>'Employee Benefits'!I18</f>
        <v>0</v>
      </c>
      <c r="S14" s="123">
        <v>2500</v>
      </c>
      <c r="T14" s="122">
        <f t="shared" si="12"/>
        <v>12818.07</v>
      </c>
      <c r="U14" s="122">
        <f t="shared" si="2"/>
        <v>1425</v>
      </c>
      <c r="V14" s="122">
        <f t="shared" si="3"/>
        <v>30</v>
      </c>
      <c r="W14" s="122">
        <f t="shared" si="4"/>
        <v>341.66249999999997</v>
      </c>
      <c r="X14" s="122">
        <f t="shared" si="5"/>
        <v>100</v>
      </c>
      <c r="Y14" s="122">
        <f t="shared" si="6"/>
        <v>2130</v>
      </c>
      <c r="Z14" s="122">
        <f t="shared" si="7"/>
        <v>683.32499999999993</v>
      </c>
      <c r="AA14" s="122">
        <f t="shared" si="8"/>
        <v>200</v>
      </c>
      <c r="AB14" s="35"/>
      <c r="AC14" s="35"/>
    </row>
    <row r="15" spans="1:29" ht="18.75" customHeight="1" x14ac:dyDescent="0.25">
      <c r="A15" s="118"/>
      <c r="B15" s="119" t="s">
        <v>6</v>
      </c>
      <c r="C15" s="120"/>
      <c r="D15" s="120"/>
      <c r="E15" s="120"/>
      <c r="F15" s="121"/>
      <c r="G15" s="121"/>
      <c r="H15" s="121"/>
      <c r="I15" s="121"/>
      <c r="J15" s="124">
        <f>SUM(J5:J14)</f>
        <v>374200</v>
      </c>
      <c r="K15" s="124">
        <f>SUM(K5:K14)</f>
        <v>27570</v>
      </c>
      <c r="L15" s="124"/>
      <c r="M15" s="124">
        <f t="shared" ref="M15:AA15" si="14">SUM(M5:M14)</f>
        <v>8145</v>
      </c>
      <c r="N15" s="124">
        <f t="shared" si="14"/>
        <v>8419.5</v>
      </c>
      <c r="O15" s="124">
        <f t="shared" si="14"/>
        <v>1000</v>
      </c>
      <c r="P15" s="124">
        <f t="shared" si="14"/>
        <v>359835.5</v>
      </c>
      <c r="Q15" s="124">
        <f t="shared" si="14"/>
        <v>67450.888125000012</v>
      </c>
      <c r="R15" s="124">
        <f t="shared" si="14"/>
        <v>8276.1538461538439</v>
      </c>
      <c r="S15" s="124">
        <f t="shared" si="14"/>
        <v>27550</v>
      </c>
      <c r="T15" s="124">
        <f t="shared" si="14"/>
        <v>280928.45802884613</v>
      </c>
      <c r="U15" s="124">
        <f t="shared" si="14"/>
        <v>17195</v>
      </c>
      <c r="V15" s="124">
        <f t="shared" si="14"/>
        <v>280</v>
      </c>
      <c r="W15" s="124">
        <f t="shared" si="14"/>
        <v>8419.5</v>
      </c>
      <c r="X15" s="124">
        <f t="shared" si="14"/>
        <v>1000</v>
      </c>
      <c r="Y15" s="124">
        <f t="shared" si="14"/>
        <v>25620</v>
      </c>
      <c r="Z15" s="124">
        <f t="shared" si="14"/>
        <v>16839</v>
      </c>
      <c r="AA15" s="124">
        <f t="shared" si="14"/>
        <v>2000</v>
      </c>
      <c r="AB15" s="35"/>
      <c r="AC15" s="35"/>
    </row>
    <row r="16" spans="1:29" x14ac:dyDescent="0.25">
      <c r="A16" s="32"/>
      <c r="B16" s="35"/>
      <c r="C16" s="35"/>
      <c r="D16" s="35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5"/>
      <c r="AC16" s="35"/>
    </row>
    <row r="17" spans="1:29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8" customHeigh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</sheetData>
  <mergeCells count="8">
    <mergeCell ref="Z3:Z4"/>
    <mergeCell ref="AA3:AA4"/>
    <mergeCell ref="Y2:AA2"/>
    <mergeCell ref="M2:O2"/>
    <mergeCell ref="P2:P4"/>
    <mergeCell ref="Q2:S2"/>
    <mergeCell ref="U3:V3"/>
    <mergeCell ref="U2:X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64D59-680D-4C9D-A234-6C0BAFB50187}">
  <dimension ref="A1:I23"/>
  <sheetViews>
    <sheetView tabSelected="1" workbookViewId="0">
      <selection activeCell="H18" sqref="H18"/>
    </sheetView>
  </sheetViews>
  <sheetFormatPr defaultRowHeight="15" x14ac:dyDescent="0.25"/>
  <cols>
    <col min="2" max="3" width="22.7109375" customWidth="1"/>
    <col min="4" max="9" width="20.7109375" customWidth="1"/>
  </cols>
  <sheetData>
    <row r="1" spans="1:9" ht="15.75" thickBot="1" x14ac:dyDescent="0.3">
      <c r="A1" s="32"/>
      <c r="B1" s="32"/>
      <c r="C1" s="32"/>
      <c r="D1" s="32"/>
      <c r="E1" s="32"/>
      <c r="F1" s="32"/>
      <c r="G1" s="32"/>
      <c r="H1" s="32"/>
      <c r="I1" s="32"/>
    </row>
    <row r="2" spans="1:9" ht="15.75" thickBot="1" x14ac:dyDescent="0.3">
      <c r="A2" s="32"/>
      <c r="B2" s="138" t="s">
        <v>67</v>
      </c>
      <c r="C2" s="139"/>
      <c r="D2" s="32"/>
      <c r="E2" s="32"/>
      <c r="F2" s="32"/>
      <c r="G2" s="32"/>
      <c r="H2" s="32"/>
      <c r="I2" s="32"/>
    </row>
    <row r="3" spans="1:9" x14ac:dyDescent="0.25">
      <c r="A3" s="32"/>
      <c r="B3" s="82" t="s">
        <v>68</v>
      </c>
      <c r="C3" s="83" t="s">
        <v>69</v>
      </c>
      <c r="D3" s="32"/>
      <c r="E3" s="43" t="s">
        <v>70</v>
      </c>
      <c r="F3" s="44" t="s">
        <v>72</v>
      </c>
      <c r="G3" s="32"/>
      <c r="H3" s="32"/>
      <c r="I3" s="32"/>
    </row>
    <row r="4" spans="1:9" ht="15.75" thickBot="1" x14ac:dyDescent="0.3">
      <c r="A4" s="32"/>
      <c r="B4" s="47" t="s">
        <v>75</v>
      </c>
      <c r="C4" s="84">
        <v>1000</v>
      </c>
      <c r="D4" s="32"/>
      <c r="E4" s="86" t="s">
        <v>71</v>
      </c>
      <c r="F4" s="85" t="s">
        <v>73</v>
      </c>
      <c r="G4" s="32"/>
      <c r="H4" s="32"/>
      <c r="I4" s="32"/>
    </row>
    <row r="5" spans="1:9" x14ac:dyDescent="0.25">
      <c r="A5" s="32"/>
      <c r="B5" s="47" t="s">
        <v>76</v>
      </c>
      <c r="C5" s="49">
        <v>250</v>
      </c>
      <c r="D5" s="32"/>
      <c r="E5" s="32"/>
      <c r="F5" s="32"/>
      <c r="G5" s="32"/>
      <c r="H5" s="32"/>
      <c r="I5" s="32"/>
    </row>
    <row r="6" spans="1:9" ht="15.75" thickBot="1" x14ac:dyDescent="0.3">
      <c r="A6" s="32"/>
      <c r="B6" s="50" t="s">
        <v>74</v>
      </c>
      <c r="C6" s="52">
        <v>250</v>
      </c>
      <c r="D6" s="32"/>
      <c r="E6" s="32"/>
      <c r="F6" s="32"/>
      <c r="G6" s="32"/>
      <c r="H6" s="32"/>
      <c r="I6" s="32"/>
    </row>
    <row r="7" spans="1:9" ht="15.75" thickBot="1" x14ac:dyDescent="0.3">
      <c r="A7" s="32"/>
      <c r="B7" s="32"/>
      <c r="C7" s="32"/>
      <c r="D7" s="32"/>
      <c r="E7" s="32"/>
      <c r="F7" s="32"/>
      <c r="G7" s="32"/>
      <c r="H7" s="32"/>
      <c r="I7" s="32"/>
    </row>
    <row r="8" spans="1:9" ht="33.75" customHeight="1" thickBot="1" x14ac:dyDescent="0.3">
      <c r="A8" s="32"/>
      <c r="B8" s="91" t="s">
        <v>0</v>
      </c>
      <c r="C8" s="92" t="s">
        <v>66</v>
      </c>
      <c r="D8" s="92" t="s">
        <v>75</v>
      </c>
      <c r="E8" s="92" t="s">
        <v>76</v>
      </c>
      <c r="F8" s="93" t="s">
        <v>74</v>
      </c>
      <c r="G8" s="92" t="s">
        <v>77</v>
      </c>
      <c r="H8" s="93" t="s">
        <v>78</v>
      </c>
      <c r="I8" s="90" t="s">
        <v>72</v>
      </c>
    </row>
    <row r="9" spans="1:9" x14ac:dyDescent="0.25">
      <c r="A9" s="32">
        <v>1</v>
      </c>
      <c r="B9" s="87" t="s">
        <v>48</v>
      </c>
      <c r="C9" s="87" t="s">
        <v>70</v>
      </c>
      <c r="D9" s="88">
        <v>2800</v>
      </c>
      <c r="E9" s="55">
        <v>550</v>
      </c>
      <c r="F9" s="55">
        <v>450</v>
      </c>
      <c r="G9" s="88">
        <f>SUM(D9:F9)</f>
        <v>3800</v>
      </c>
      <c r="H9" s="89">
        <f t="shared" ref="H9:H18" si="0">IF(C9=$E$4,(D9-$C$4)+(E9-$C$5)+(F9-$C$6),0)</f>
        <v>0</v>
      </c>
      <c r="I9" s="89">
        <f>IF(C9=$E$3,((G9/0.65)*0.35),0)</f>
        <v>2046.153846153846</v>
      </c>
    </row>
    <row r="10" spans="1:9" x14ac:dyDescent="0.25">
      <c r="A10" s="32">
        <v>2</v>
      </c>
      <c r="B10" s="46" t="s">
        <v>55</v>
      </c>
      <c r="C10" s="87" t="s">
        <v>70</v>
      </c>
      <c r="D10" s="88">
        <v>2800</v>
      </c>
      <c r="E10" s="55">
        <v>560</v>
      </c>
      <c r="F10" s="48">
        <v>550</v>
      </c>
      <c r="G10" s="88">
        <f t="shared" ref="G10:G18" si="1">SUM(D10:F10)</f>
        <v>3910</v>
      </c>
      <c r="H10" s="89">
        <f t="shared" si="0"/>
        <v>0</v>
      </c>
      <c r="I10" s="89">
        <f t="shared" ref="I10:I18" si="2">IF(C10=$E$3,((G10/0.65)*0.35),0)</f>
        <v>2105.3846153846152</v>
      </c>
    </row>
    <row r="11" spans="1:9" x14ac:dyDescent="0.25">
      <c r="A11" s="32">
        <v>3</v>
      </c>
      <c r="B11" s="46" t="s">
        <v>53</v>
      </c>
      <c r="C11" s="87" t="s">
        <v>71</v>
      </c>
      <c r="D11" s="48">
        <v>1350</v>
      </c>
      <c r="E11" s="48">
        <v>250</v>
      </c>
      <c r="F11" s="48">
        <v>300</v>
      </c>
      <c r="G11" s="88">
        <f t="shared" si="1"/>
        <v>1900</v>
      </c>
      <c r="H11" s="89">
        <f t="shared" si="0"/>
        <v>400</v>
      </c>
      <c r="I11" s="89">
        <f t="shared" si="2"/>
        <v>0</v>
      </c>
    </row>
    <row r="12" spans="1:9" x14ac:dyDescent="0.25">
      <c r="A12" s="32">
        <v>4</v>
      </c>
      <c r="B12" s="46" t="s">
        <v>49</v>
      </c>
      <c r="C12" s="87" t="s">
        <v>71</v>
      </c>
      <c r="D12" s="48">
        <v>1500</v>
      </c>
      <c r="E12" s="48">
        <v>300</v>
      </c>
      <c r="F12" s="48">
        <v>250</v>
      </c>
      <c r="G12" s="88">
        <f t="shared" si="1"/>
        <v>2050</v>
      </c>
      <c r="H12" s="89">
        <f t="shared" si="0"/>
        <v>550</v>
      </c>
      <c r="I12" s="89">
        <f t="shared" si="2"/>
        <v>0</v>
      </c>
    </row>
    <row r="13" spans="1:9" x14ac:dyDescent="0.25">
      <c r="A13" s="32">
        <v>5</v>
      </c>
      <c r="B13" s="46" t="s">
        <v>51</v>
      </c>
      <c r="C13" s="87" t="s">
        <v>70</v>
      </c>
      <c r="D13" s="88">
        <v>2800</v>
      </c>
      <c r="E13" s="55">
        <v>550</v>
      </c>
      <c r="F13" s="48">
        <v>400</v>
      </c>
      <c r="G13" s="88">
        <f t="shared" si="1"/>
        <v>3750</v>
      </c>
      <c r="H13" s="89">
        <f t="shared" si="0"/>
        <v>0</v>
      </c>
      <c r="I13" s="89">
        <f t="shared" si="2"/>
        <v>2019.2307692307688</v>
      </c>
    </row>
    <row r="14" spans="1:9" x14ac:dyDescent="0.25">
      <c r="A14" s="32">
        <v>6</v>
      </c>
      <c r="B14" s="46" t="s">
        <v>52</v>
      </c>
      <c r="C14" s="87" t="s">
        <v>71</v>
      </c>
      <c r="D14" s="48">
        <v>1500</v>
      </c>
      <c r="E14" s="48">
        <v>350</v>
      </c>
      <c r="F14" s="48">
        <v>250</v>
      </c>
      <c r="G14" s="88">
        <f t="shared" si="1"/>
        <v>2100</v>
      </c>
      <c r="H14" s="89">
        <f t="shared" si="0"/>
        <v>600</v>
      </c>
      <c r="I14" s="89">
        <f t="shared" si="2"/>
        <v>0</v>
      </c>
    </row>
    <row r="15" spans="1:9" x14ac:dyDescent="0.25">
      <c r="A15" s="32">
        <v>7</v>
      </c>
      <c r="B15" s="46" t="s">
        <v>50</v>
      </c>
      <c r="C15" s="87" t="s">
        <v>70</v>
      </c>
      <c r="D15" s="88">
        <v>2800</v>
      </c>
      <c r="E15" s="55">
        <v>550</v>
      </c>
      <c r="F15" s="48">
        <v>560</v>
      </c>
      <c r="G15" s="88">
        <f t="shared" si="1"/>
        <v>3910</v>
      </c>
      <c r="H15" s="89">
        <f t="shared" si="0"/>
        <v>0</v>
      </c>
      <c r="I15" s="89">
        <f t="shared" si="2"/>
        <v>2105.3846153846152</v>
      </c>
    </row>
    <row r="16" spans="1:9" x14ac:dyDescent="0.25">
      <c r="A16" s="32">
        <v>8</v>
      </c>
      <c r="B16" s="46" t="s">
        <v>54</v>
      </c>
      <c r="C16" s="87" t="s">
        <v>71</v>
      </c>
      <c r="D16" s="48">
        <v>1500</v>
      </c>
      <c r="E16" s="48">
        <v>250</v>
      </c>
      <c r="F16" s="48">
        <v>250</v>
      </c>
      <c r="G16" s="88">
        <f t="shared" si="1"/>
        <v>2000</v>
      </c>
      <c r="H16" s="89">
        <f t="shared" si="0"/>
        <v>500</v>
      </c>
      <c r="I16" s="89">
        <f t="shared" si="2"/>
        <v>0</v>
      </c>
    </row>
    <row r="17" spans="1:9" x14ac:dyDescent="0.25">
      <c r="A17" s="32">
        <v>9</v>
      </c>
      <c r="B17" s="46" t="s">
        <v>56</v>
      </c>
      <c r="C17" s="87" t="s">
        <v>71</v>
      </c>
      <c r="D17" s="48">
        <v>1500</v>
      </c>
      <c r="E17" s="48">
        <v>300</v>
      </c>
      <c r="F17" s="48">
        <v>250</v>
      </c>
      <c r="G17" s="88">
        <f t="shared" si="1"/>
        <v>2050</v>
      </c>
      <c r="H17" s="89">
        <f t="shared" si="0"/>
        <v>550</v>
      </c>
      <c r="I17" s="89">
        <f t="shared" si="2"/>
        <v>0</v>
      </c>
    </row>
    <row r="18" spans="1:9" x14ac:dyDescent="0.25">
      <c r="A18" s="32">
        <v>10</v>
      </c>
      <c r="B18" s="46" t="s">
        <v>57</v>
      </c>
      <c r="C18" s="87" t="s">
        <v>71</v>
      </c>
      <c r="D18" s="48">
        <v>1500</v>
      </c>
      <c r="E18" s="48">
        <v>300</v>
      </c>
      <c r="F18" s="48">
        <v>300</v>
      </c>
      <c r="G18" s="88">
        <f t="shared" si="1"/>
        <v>2100</v>
      </c>
      <c r="H18" s="89">
        <f t="shared" si="0"/>
        <v>600</v>
      </c>
      <c r="I18" s="89">
        <f t="shared" si="2"/>
        <v>0</v>
      </c>
    </row>
    <row r="19" spans="1:9" x14ac:dyDescent="0.25">
      <c r="A19" s="32"/>
      <c r="B19" s="32"/>
      <c r="C19" s="35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  <row r="22" spans="1:9" x14ac:dyDescent="0.25">
      <c r="A22" s="32"/>
      <c r="B22" s="32"/>
      <c r="C22" s="32"/>
      <c r="D22" s="32"/>
      <c r="E22" s="32"/>
      <c r="F22" s="32"/>
      <c r="G22" s="32"/>
      <c r="H22" s="32"/>
      <c r="I22" s="32"/>
    </row>
    <row r="23" spans="1:9" x14ac:dyDescent="0.25">
      <c r="A23" s="32"/>
      <c r="B23" s="32"/>
      <c r="C23" s="32"/>
      <c r="D23" s="32"/>
      <c r="E23" s="32"/>
      <c r="F23" s="32"/>
      <c r="G23" s="32"/>
      <c r="H23" s="32"/>
      <c r="I23" s="32"/>
    </row>
  </sheetData>
  <mergeCells count="1">
    <mergeCell ref="B2:C2"/>
  </mergeCells>
  <dataValidations count="1">
    <dataValidation type="list" allowBlank="1" showInputMessage="1" showErrorMessage="1" sqref="C9:C18" xr:uid="{5E744A8C-8634-436F-83FA-DD5197B86F98}">
      <formula1>$E$3:$E$4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AE40-A0CB-4942-9DF4-26D179B8D9E6}">
  <dimension ref="A1:H25"/>
  <sheetViews>
    <sheetView workbookViewId="0">
      <selection activeCell="H13" sqref="H13"/>
    </sheetView>
  </sheetViews>
  <sheetFormatPr defaultRowHeight="15" x14ac:dyDescent="0.25"/>
  <cols>
    <col min="2" max="8" width="18.7109375" customWidth="1"/>
  </cols>
  <sheetData>
    <row r="1" spans="1:8" ht="15.75" thickBot="1" x14ac:dyDescent="0.3">
      <c r="A1" s="32"/>
      <c r="B1" s="32"/>
      <c r="C1" s="32"/>
      <c r="D1" s="32"/>
      <c r="E1" s="32"/>
      <c r="F1" s="32"/>
      <c r="G1" s="32"/>
      <c r="H1" s="32"/>
    </row>
    <row r="2" spans="1:8" ht="15.75" thickBot="1" x14ac:dyDescent="0.3">
      <c r="A2" s="32"/>
      <c r="B2" s="140" t="s">
        <v>38</v>
      </c>
      <c r="C2" s="141"/>
      <c r="D2" s="141"/>
      <c r="E2" s="141"/>
      <c r="F2" s="142"/>
      <c r="G2" s="32"/>
      <c r="H2" s="32"/>
    </row>
    <row r="3" spans="1:8" x14ac:dyDescent="0.25">
      <c r="A3" s="32"/>
      <c r="B3" s="71"/>
      <c r="C3" s="72" t="s">
        <v>40</v>
      </c>
      <c r="D3" s="72"/>
      <c r="E3" s="72"/>
      <c r="F3" s="73"/>
      <c r="G3" s="32"/>
      <c r="H3" s="32"/>
    </row>
    <row r="4" spans="1:8" x14ac:dyDescent="0.25">
      <c r="A4" s="32"/>
      <c r="B4" s="71" t="s">
        <v>39</v>
      </c>
      <c r="C4" s="72" t="s">
        <v>39</v>
      </c>
      <c r="D4" s="72" t="s">
        <v>41</v>
      </c>
      <c r="E4" s="72" t="s">
        <v>42</v>
      </c>
      <c r="F4" s="73" t="s">
        <v>43</v>
      </c>
      <c r="G4" s="32"/>
      <c r="H4" s="32"/>
    </row>
    <row r="5" spans="1:8" x14ac:dyDescent="0.25">
      <c r="A5" s="32"/>
      <c r="B5" s="74">
        <v>0</v>
      </c>
      <c r="C5" s="75">
        <v>10417</v>
      </c>
      <c r="D5" s="75">
        <v>0</v>
      </c>
      <c r="E5" s="76">
        <v>0</v>
      </c>
      <c r="F5" s="77">
        <v>0</v>
      </c>
      <c r="G5" s="32"/>
      <c r="H5" s="32"/>
    </row>
    <row r="6" spans="1:8" x14ac:dyDescent="0.25">
      <c r="A6" s="32"/>
      <c r="B6" s="74">
        <v>10417</v>
      </c>
      <c r="C6" s="75">
        <v>16667</v>
      </c>
      <c r="D6" s="75">
        <v>0</v>
      </c>
      <c r="E6" s="76">
        <v>0.2</v>
      </c>
      <c r="F6" s="77">
        <v>10417</v>
      </c>
      <c r="G6" s="32"/>
      <c r="H6" s="32"/>
    </row>
    <row r="7" spans="1:8" x14ac:dyDescent="0.25">
      <c r="A7" s="32"/>
      <c r="B7" s="74">
        <v>16667</v>
      </c>
      <c r="C7" s="75">
        <v>33333</v>
      </c>
      <c r="D7" s="75">
        <v>1250</v>
      </c>
      <c r="E7" s="76">
        <v>0.25</v>
      </c>
      <c r="F7" s="77">
        <v>16667</v>
      </c>
      <c r="G7" s="32"/>
      <c r="H7" s="32"/>
    </row>
    <row r="8" spans="1:8" x14ac:dyDescent="0.25">
      <c r="A8" s="32"/>
      <c r="B8" s="74">
        <v>33333</v>
      </c>
      <c r="C8" s="75">
        <v>83333</v>
      </c>
      <c r="D8" s="75">
        <v>5417</v>
      </c>
      <c r="E8" s="76">
        <v>0.3</v>
      </c>
      <c r="F8" s="77">
        <v>33333</v>
      </c>
      <c r="G8" s="32"/>
      <c r="H8" s="32"/>
    </row>
    <row r="9" spans="1:8" x14ac:dyDescent="0.25">
      <c r="A9" s="32"/>
      <c r="B9" s="74">
        <v>83333</v>
      </c>
      <c r="C9" s="75">
        <v>333333</v>
      </c>
      <c r="D9" s="75">
        <v>20416</v>
      </c>
      <c r="E9" s="76">
        <v>0.32</v>
      </c>
      <c r="F9" s="77">
        <v>83333</v>
      </c>
      <c r="G9" s="32"/>
      <c r="H9" s="32"/>
    </row>
    <row r="10" spans="1:8" ht="15.75" thickBot="1" x14ac:dyDescent="0.3">
      <c r="A10" s="32"/>
      <c r="B10" s="78">
        <v>333333</v>
      </c>
      <c r="C10" s="79">
        <v>0</v>
      </c>
      <c r="D10" s="79">
        <v>100418</v>
      </c>
      <c r="E10" s="80">
        <v>0.35</v>
      </c>
      <c r="F10" s="81">
        <v>333333</v>
      </c>
      <c r="G10" s="32"/>
      <c r="H10" s="32"/>
    </row>
    <row r="11" spans="1:8" ht="15.75" thickBot="1" x14ac:dyDescent="0.3">
      <c r="A11" s="32"/>
      <c r="B11" s="32"/>
      <c r="C11" s="32"/>
      <c r="D11" s="32"/>
      <c r="E11" s="32"/>
      <c r="F11" s="32"/>
      <c r="G11" s="32"/>
      <c r="H11" s="32"/>
    </row>
    <row r="12" spans="1:8" x14ac:dyDescent="0.25">
      <c r="A12" s="32"/>
      <c r="B12" s="40" t="s">
        <v>37</v>
      </c>
      <c r="C12" s="41" t="s">
        <v>12</v>
      </c>
      <c r="D12" s="41" t="s">
        <v>58</v>
      </c>
      <c r="E12" s="41" t="s">
        <v>45</v>
      </c>
      <c r="F12" s="41" t="s">
        <v>59</v>
      </c>
      <c r="G12" s="41" t="s">
        <v>60</v>
      </c>
      <c r="H12" s="42" t="s">
        <v>61</v>
      </c>
    </row>
    <row r="13" spans="1:8" x14ac:dyDescent="0.25">
      <c r="A13" s="38">
        <v>1</v>
      </c>
      <c r="B13" s="62" t="s">
        <v>48</v>
      </c>
      <c r="C13" s="53">
        <f>Payroll!P5</f>
        <v>38442.125</v>
      </c>
      <c r="D13" s="53">
        <f t="shared" ref="D13:D22" si="0">VLOOKUP(C13,SMT_Table,3)</f>
        <v>5417</v>
      </c>
      <c r="E13" s="63">
        <f t="shared" ref="E13:E22" si="1">VLOOKUP(C13,SMT_Table,4)</f>
        <v>0.3</v>
      </c>
      <c r="F13" s="53">
        <f t="shared" ref="F13:F22" si="2">VLOOKUP(C13,SMT_Table,5)</f>
        <v>33333</v>
      </c>
      <c r="G13" s="64">
        <f>(C13-F13)*E13</f>
        <v>1532.7375</v>
      </c>
      <c r="H13" s="65">
        <f>D13+G13</f>
        <v>6949.7375000000002</v>
      </c>
    </row>
    <row r="14" spans="1:8" x14ac:dyDescent="0.25">
      <c r="A14" s="38">
        <v>2</v>
      </c>
      <c r="B14" s="45" t="s">
        <v>55</v>
      </c>
      <c r="C14" s="53">
        <f>Payroll!P6</f>
        <v>74590.074999999997</v>
      </c>
      <c r="D14" s="53">
        <f t="shared" si="0"/>
        <v>5417</v>
      </c>
      <c r="E14" s="63">
        <f t="shared" si="1"/>
        <v>0.3</v>
      </c>
      <c r="F14" s="53">
        <f t="shared" si="2"/>
        <v>33333</v>
      </c>
      <c r="G14" s="64">
        <f>(C14-F14)*E14</f>
        <v>12377.122499999999</v>
      </c>
      <c r="H14" s="65">
        <f t="shared" ref="H14:H22" si="3">D14+G14</f>
        <v>17794.122499999998</v>
      </c>
    </row>
    <row r="15" spans="1:8" x14ac:dyDescent="0.25">
      <c r="A15" s="38">
        <v>3</v>
      </c>
      <c r="B15" s="45" t="s">
        <v>53</v>
      </c>
      <c r="C15" s="53">
        <f>Payroll!P7</f>
        <v>21413.3</v>
      </c>
      <c r="D15" s="53">
        <f t="shared" si="0"/>
        <v>1250</v>
      </c>
      <c r="E15" s="63">
        <f t="shared" si="1"/>
        <v>0.25</v>
      </c>
      <c r="F15" s="53">
        <f t="shared" si="2"/>
        <v>16667</v>
      </c>
      <c r="G15" s="64">
        <f>(C15-F15)*E15</f>
        <v>1186.5749999999998</v>
      </c>
      <c r="H15" s="65">
        <f t="shared" si="3"/>
        <v>2436.5749999999998</v>
      </c>
    </row>
    <row r="16" spans="1:8" x14ac:dyDescent="0.25">
      <c r="A16" s="38">
        <v>4</v>
      </c>
      <c r="B16" s="45" t="s">
        <v>49</v>
      </c>
      <c r="C16" s="53">
        <f>Payroll!P8</f>
        <v>21338.474999999999</v>
      </c>
      <c r="D16" s="53">
        <f t="shared" si="0"/>
        <v>1250</v>
      </c>
      <c r="E16" s="63">
        <f t="shared" si="1"/>
        <v>0.25</v>
      </c>
      <c r="F16" s="53">
        <f t="shared" si="2"/>
        <v>16667</v>
      </c>
      <c r="G16" s="64">
        <f t="shared" ref="G16:G22" si="4">(C16-F16)*E16</f>
        <v>1167.8687499999996</v>
      </c>
      <c r="H16" s="65">
        <f t="shared" si="3"/>
        <v>2417.8687499999996</v>
      </c>
    </row>
    <row r="17" spans="1:8" x14ac:dyDescent="0.25">
      <c r="A17" s="38">
        <v>5</v>
      </c>
      <c r="B17" s="45" t="s">
        <v>51</v>
      </c>
      <c r="C17" s="53">
        <f>Payroll!P9</f>
        <v>72752.375</v>
      </c>
      <c r="D17" s="53">
        <f t="shared" si="0"/>
        <v>5417</v>
      </c>
      <c r="E17" s="63">
        <f t="shared" si="1"/>
        <v>0.3</v>
      </c>
      <c r="F17" s="53">
        <f t="shared" si="2"/>
        <v>33333</v>
      </c>
      <c r="G17" s="64">
        <f t="shared" si="4"/>
        <v>11825.8125</v>
      </c>
      <c r="H17" s="65">
        <f t="shared" si="3"/>
        <v>17242.8125</v>
      </c>
    </row>
    <row r="18" spans="1:8" x14ac:dyDescent="0.25">
      <c r="A18" s="38">
        <v>6</v>
      </c>
      <c r="B18" s="45" t="s">
        <v>52</v>
      </c>
      <c r="C18" s="53">
        <f>Payroll!P10</f>
        <v>11905.05</v>
      </c>
      <c r="D18" s="53">
        <f t="shared" si="0"/>
        <v>0</v>
      </c>
      <c r="E18" s="63">
        <f t="shared" si="1"/>
        <v>0.2</v>
      </c>
      <c r="F18" s="53">
        <f t="shared" si="2"/>
        <v>10417</v>
      </c>
      <c r="G18" s="64">
        <f t="shared" si="4"/>
        <v>297.60999999999984</v>
      </c>
      <c r="H18" s="65">
        <f t="shared" si="3"/>
        <v>297.60999999999984</v>
      </c>
    </row>
    <row r="19" spans="1:8" x14ac:dyDescent="0.25">
      <c r="A19" s="38">
        <v>7</v>
      </c>
      <c r="B19" s="45" t="s">
        <v>50</v>
      </c>
      <c r="C19" s="53">
        <f>Payroll!P11</f>
        <v>71804.2</v>
      </c>
      <c r="D19" s="53">
        <f t="shared" si="0"/>
        <v>5417</v>
      </c>
      <c r="E19" s="63">
        <f t="shared" si="1"/>
        <v>0.3</v>
      </c>
      <c r="F19" s="53">
        <f t="shared" si="2"/>
        <v>33333</v>
      </c>
      <c r="G19" s="64">
        <f t="shared" si="4"/>
        <v>11541.359999999999</v>
      </c>
      <c r="H19" s="65">
        <f t="shared" si="3"/>
        <v>16958.36</v>
      </c>
    </row>
    <row r="20" spans="1:8" x14ac:dyDescent="0.25">
      <c r="A20" s="38">
        <v>8</v>
      </c>
      <c r="B20" s="45" t="s">
        <v>54</v>
      </c>
      <c r="C20" s="53">
        <f>Payroll!P12</f>
        <v>14534.125</v>
      </c>
      <c r="D20" s="53">
        <f t="shared" si="0"/>
        <v>0</v>
      </c>
      <c r="E20" s="63">
        <f t="shared" si="1"/>
        <v>0.2</v>
      </c>
      <c r="F20" s="53">
        <f t="shared" si="2"/>
        <v>10417</v>
      </c>
      <c r="G20" s="64">
        <f t="shared" si="4"/>
        <v>823.42500000000007</v>
      </c>
      <c r="H20" s="65">
        <f t="shared" si="3"/>
        <v>823.42500000000007</v>
      </c>
    </row>
    <row r="21" spans="1:8" x14ac:dyDescent="0.25">
      <c r="A21" s="38">
        <v>9</v>
      </c>
      <c r="B21" s="45" t="s">
        <v>56</v>
      </c>
      <c r="C21" s="53">
        <f>Payroll!P13</f>
        <v>18387.4375</v>
      </c>
      <c r="D21" s="53">
        <f t="shared" si="0"/>
        <v>1250</v>
      </c>
      <c r="E21" s="63">
        <f t="shared" si="1"/>
        <v>0.25</v>
      </c>
      <c r="F21" s="53">
        <f t="shared" si="2"/>
        <v>16667</v>
      </c>
      <c r="G21" s="64">
        <f t="shared" si="4"/>
        <v>430.109375</v>
      </c>
      <c r="H21" s="65">
        <f t="shared" si="3"/>
        <v>1680.109375</v>
      </c>
    </row>
    <row r="22" spans="1:8" ht="15.75" thickBot="1" x14ac:dyDescent="0.3">
      <c r="A22" s="38">
        <v>10</v>
      </c>
      <c r="B22" s="66" t="s">
        <v>57</v>
      </c>
      <c r="C22" s="67">
        <f>Payroll!P14</f>
        <v>14668.3375</v>
      </c>
      <c r="D22" s="67">
        <f t="shared" si="0"/>
        <v>0</v>
      </c>
      <c r="E22" s="68">
        <f t="shared" si="1"/>
        <v>0.2</v>
      </c>
      <c r="F22" s="67">
        <f t="shared" si="2"/>
        <v>10417</v>
      </c>
      <c r="G22" s="69">
        <f t="shared" si="4"/>
        <v>850.26749999999993</v>
      </c>
      <c r="H22" s="70">
        <f t="shared" si="3"/>
        <v>850.26749999999993</v>
      </c>
    </row>
    <row r="23" spans="1:8" x14ac:dyDescent="0.25">
      <c r="A23" s="32"/>
      <c r="B23" s="32"/>
      <c r="C23" s="32"/>
      <c r="D23" s="32"/>
      <c r="E23" s="32"/>
      <c r="F23" s="32"/>
      <c r="G23" s="32"/>
      <c r="H23" s="32"/>
    </row>
    <row r="24" spans="1:8" x14ac:dyDescent="0.25">
      <c r="A24" s="32"/>
      <c r="B24" s="32"/>
      <c r="C24" s="32"/>
      <c r="D24" s="32"/>
      <c r="E24" s="32"/>
      <c r="F24" s="32"/>
      <c r="G24" s="32"/>
      <c r="H24" s="32"/>
    </row>
    <row r="25" spans="1:8" x14ac:dyDescent="0.25">
      <c r="A25" s="32"/>
      <c r="B25" s="32"/>
      <c r="C25" s="32"/>
      <c r="D25" s="32"/>
      <c r="E25" s="32"/>
      <c r="F25" s="32"/>
      <c r="G25" s="32"/>
      <c r="H25" s="32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4134-08C1-4AD1-B7CF-3ABAA8187432}">
  <dimension ref="B1:E36"/>
  <sheetViews>
    <sheetView workbookViewId="0">
      <selection activeCell="I25" sqref="I25"/>
    </sheetView>
  </sheetViews>
  <sheetFormatPr defaultRowHeight="15" x14ac:dyDescent="0.25"/>
  <cols>
    <col min="2" max="2" width="5.7109375" customWidth="1"/>
    <col min="3" max="3" width="21.7109375" customWidth="1"/>
    <col min="4" max="4" width="20.42578125" customWidth="1"/>
    <col min="5" max="5" width="21.7109375" customWidth="1"/>
  </cols>
  <sheetData>
    <row r="1" spans="2:5" ht="15.75" thickBot="1" x14ac:dyDescent="0.3"/>
    <row r="2" spans="2:5" x14ac:dyDescent="0.25">
      <c r="B2" s="143" t="s">
        <v>64</v>
      </c>
      <c r="C2" s="144"/>
      <c r="D2" s="144"/>
      <c r="E2" s="145"/>
    </row>
    <row r="3" spans="2:5" x14ac:dyDescent="0.25">
      <c r="B3" s="146" t="s">
        <v>89</v>
      </c>
      <c r="C3" s="147"/>
      <c r="D3" s="147"/>
      <c r="E3" s="148"/>
    </row>
    <row r="4" spans="2:5" x14ac:dyDescent="0.25">
      <c r="B4" s="146" t="s">
        <v>88</v>
      </c>
      <c r="C4" s="147"/>
      <c r="D4" s="147"/>
      <c r="E4" s="148"/>
    </row>
    <row r="5" spans="2:5" x14ac:dyDescent="0.25">
      <c r="B5" s="47" t="s">
        <v>107</v>
      </c>
      <c r="C5" s="48"/>
      <c r="D5" s="48"/>
      <c r="E5" s="49"/>
    </row>
    <row r="6" spans="2:5" x14ac:dyDescent="0.25">
      <c r="B6" s="47"/>
      <c r="C6" s="48"/>
      <c r="D6" s="48"/>
      <c r="E6" s="49"/>
    </row>
    <row r="7" spans="2:5" x14ac:dyDescent="0.25">
      <c r="B7" s="47" t="s">
        <v>90</v>
      </c>
      <c r="C7" s="48"/>
      <c r="D7" s="46">
        <f>VLOOKUP(D8,Payroll_Table,3)</f>
        <v>607989037</v>
      </c>
      <c r="E7" s="49"/>
    </row>
    <row r="8" spans="2:5" x14ac:dyDescent="0.25">
      <c r="B8" s="47" t="s">
        <v>91</v>
      </c>
      <c r="C8" s="48"/>
      <c r="D8" s="46" t="s">
        <v>112</v>
      </c>
      <c r="E8" s="49"/>
    </row>
    <row r="9" spans="2:5" x14ac:dyDescent="0.25">
      <c r="B9" s="47" t="s">
        <v>92</v>
      </c>
      <c r="C9" s="48"/>
      <c r="D9" s="46" t="str">
        <f>VLOOKUP(D8,Payroll_Table,2)</f>
        <v>Accountant</v>
      </c>
      <c r="E9" s="49"/>
    </row>
    <row r="10" spans="2:5" x14ac:dyDescent="0.25">
      <c r="B10" s="47" t="s">
        <v>93</v>
      </c>
      <c r="C10" s="48"/>
      <c r="D10" s="46" t="str">
        <f>VLOOKUP(D8,Payroll_Table,4)</f>
        <v xml:space="preserve">Non-Rank and File </v>
      </c>
      <c r="E10" s="49"/>
    </row>
    <row r="11" spans="2:5" x14ac:dyDescent="0.25">
      <c r="B11" s="47"/>
      <c r="C11" s="48"/>
      <c r="D11" s="48"/>
      <c r="E11" s="49"/>
    </row>
    <row r="12" spans="2:5" x14ac:dyDescent="0.25">
      <c r="B12" s="47"/>
      <c r="C12" s="48" t="s">
        <v>94</v>
      </c>
      <c r="D12" s="53">
        <f>VLOOKUP(D8,Payroll_Table,6)</f>
        <v>37500</v>
      </c>
      <c r="E12" s="49"/>
    </row>
    <row r="13" spans="2:5" x14ac:dyDescent="0.25">
      <c r="B13" s="47"/>
      <c r="C13" s="48" t="s">
        <v>4</v>
      </c>
      <c r="D13" s="53">
        <f>VLOOKUP(D8,Payroll_Table,7)</f>
        <v>2000</v>
      </c>
      <c r="E13" s="49"/>
    </row>
    <row r="14" spans="2:5" x14ac:dyDescent="0.25">
      <c r="B14" s="47"/>
      <c r="C14" s="48" t="s">
        <v>5</v>
      </c>
      <c r="D14" s="53">
        <f>VLOOKUP(D8,Payroll_Table,8)</f>
        <v>850</v>
      </c>
      <c r="E14" s="49"/>
    </row>
    <row r="15" spans="2:5" ht="15.75" thickBot="1" x14ac:dyDescent="0.3">
      <c r="B15" s="47"/>
      <c r="C15" s="48" t="s">
        <v>95</v>
      </c>
      <c r="D15" s="57">
        <f>VLOOKUP(D8,Payroll_Table,10)</f>
        <v>3800</v>
      </c>
      <c r="E15" s="49"/>
    </row>
    <row r="16" spans="2:5" ht="16.5" thickTop="1" thickBot="1" x14ac:dyDescent="0.3">
      <c r="B16" s="47" t="s">
        <v>96</v>
      </c>
      <c r="C16" s="48"/>
      <c r="D16" s="59">
        <f>SUM(D12:D15)</f>
        <v>44150</v>
      </c>
      <c r="E16" s="49"/>
    </row>
    <row r="17" spans="2:5" ht="15.75" thickTop="1" x14ac:dyDescent="0.25">
      <c r="B17" s="47" t="s">
        <v>97</v>
      </c>
      <c r="C17" s="48"/>
      <c r="D17" s="58"/>
      <c r="E17" s="49"/>
    </row>
    <row r="18" spans="2:5" x14ac:dyDescent="0.25">
      <c r="B18" s="47"/>
      <c r="C18" s="48" t="s">
        <v>98</v>
      </c>
      <c r="D18" s="53">
        <f>VLOOKUP(D8,Payroll_Table,12)</f>
        <v>900</v>
      </c>
      <c r="E18" s="49"/>
    </row>
    <row r="19" spans="2:5" x14ac:dyDescent="0.25">
      <c r="B19" s="47"/>
      <c r="C19" s="48" t="s">
        <v>99</v>
      </c>
      <c r="D19" s="53">
        <f>VLOOKUP(D8,Payroll_Table,13)</f>
        <v>907.875</v>
      </c>
      <c r="E19" s="49"/>
    </row>
    <row r="20" spans="2:5" x14ac:dyDescent="0.25">
      <c r="B20" s="47"/>
      <c r="C20" s="48" t="s">
        <v>100</v>
      </c>
      <c r="D20" s="53">
        <f>VLOOKUP(D8,Payroll_Table,14)</f>
        <v>100</v>
      </c>
      <c r="E20" s="49"/>
    </row>
    <row r="21" spans="2:5" x14ac:dyDescent="0.25">
      <c r="B21" s="47" t="s">
        <v>13</v>
      </c>
      <c r="C21" s="48"/>
      <c r="D21" s="48"/>
      <c r="E21" s="49"/>
    </row>
    <row r="22" spans="2:5" x14ac:dyDescent="0.25">
      <c r="B22" s="47"/>
      <c r="C22" s="48" t="s">
        <v>101</v>
      </c>
      <c r="D22" s="53">
        <f>VLOOKUP(D8,Payroll_Table,16)</f>
        <v>6949.7375000000002</v>
      </c>
      <c r="E22" s="49"/>
    </row>
    <row r="23" spans="2:5" x14ac:dyDescent="0.25">
      <c r="B23" s="47"/>
      <c r="C23" s="48" t="s">
        <v>86</v>
      </c>
      <c r="D23" s="53">
        <f>VLOOKUP(D8,Payroll_Table,17)</f>
        <v>2046.153846153846</v>
      </c>
      <c r="E23" s="49"/>
    </row>
    <row r="24" spans="2:5" ht="15.75" thickBot="1" x14ac:dyDescent="0.3">
      <c r="B24" s="47"/>
      <c r="C24" s="48" t="s">
        <v>102</v>
      </c>
      <c r="D24" s="54">
        <f>VLOOKUP(D8,Payroll_Table,18)</f>
        <v>5000</v>
      </c>
      <c r="E24" s="49"/>
    </row>
    <row r="25" spans="2:5" ht="16.5" thickTop="1" thickBot="1" x14ac:dyDescent="0.3">
      <c r="B25" s="47" t="s">
        <v>103</v>
      </c>
      <c r="C25" s="48"/>
      <c r="D25" s="56">
        <f>SUM(D18:D24)</f>
        <v>15903.766346153845</v>
      </c>
      <c r="E25" s="49"/>
    </row>
    <row r="26" spans="2:5" ht="16.5" thickTop="1" thickBot="1" x14ac:dyDescent="0.3">
      <c r="B26" s="47" t="s">
        <v>109</v>
      </c>
      <c r="C26" s="48"/>
      <c r="D26" s="61">
        <f>D16-D25</f>
        <v>28246.233653846153</v>
      </c>
      <c r="E26" s="49"/>
    </row>
    <row r="27" spans="2:5" ht="15.75" thickTop="1" x14ac:dyDescent="0.25">
      <c r="B27" s="47"/>
      <c r="C27" s="48"/>
      <c r="D27" s="60"/>
      <c r="E27" s="49"/>
    </row>
    <row r="28" spans="2:5" x14ac:dyDescent="0.25">
      <c r="B28" s="47"/>
      <c r="C28" s="48"/>
      <c r="D28" s="48"/>
      <c r="E28" s="49"/>
    </row>
    <row r="29" spans="2:5" x14ac:dyDescent="0.25">
      <c r="B29" s="149" t="s">
        <v>108</v>
      </c>
      <c r="C29" s="150"/>
      <c r="D29" s="150"/>
      <c r="E29" s="151"/>
    </row>
    <row r="30" spans="2:5" x14ac:dyDescent="0.25">
      <c r="B30" s="47"/>
      <c r="C30" s="48"/>
      <c r="D30" s="48"/>
      <c r="E30" s="49"/>
    </row>
    <row r="31" spans="2:5" x14ac:dyDescent="0.25">
      <c r="B31" s="47"/>
      <c r="C31" s="48"/>
      <c r="D31" s="48"/>
      <c r="E31" s="49"/>
    </row>
    <row r="32" spans="2:5" x14ac:dyDescent="0.25">
      <c r="B32" s="47"/>
      <c r="C32" s="46" t="str">
        <f>D8</f>
        <v>Dohwa Webster</v>
      </c>
      <c r="D32" s="48"/>
      <c r="E32" s="49"/>
    </row>
    <row r="33" spans="2:5" x14ac:dyDescent="0.25">
      <c r="B33" s="47"/>
      <c r="C33" s="48" t="s">
        <v>104</v>
      </c>
      <c r="D33" s="48"/>
      <c r="E33" s="49"/>
    </row>
    <row r="34" spans="2:5" x14ac:dyDescent="0.25">
      <c r="B34" s="47"/>
      <c r="C34" s="48"/>
      <c r="D34" s="48"/>
      <c r="E34" s="49"/>
    </row>
    <row r="35" spans="2:5" x14ac:dyDescent="0.25">
      <c r="B35" s="47" t="s">
        <v>105</v>
      </c>
      <c r="C35" s="48"/>
      <c r="D35" s="48"/>
      <c r="E35" s="49"/>
    </row>
    <row r="36" spans="2:5" ht="15.75" thickBot="1" x14ac:dyDescent="0.3">
      <c r="B36" s="50" t="s">
        <v>106</v>
      </c>
      <c r="C36" s="51"/>
      <c r="D36" s="51"/>
      <c r="E36" s="52"/>
    </row>
  </sheetData>
  <mergeCells count="4">
    <mergeCell ref="B2:E2"/>
    <mergeCell ref="B3:E3"/>
    <mergeCell ref="B4:E4"/>
    <mergeCell ref="B29:E2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E27969-523C-4E14-A513-26F75B8A67FE}">
          <x14:formula1>
            <xm:f>Payroll!$B$5:$B$14</xm:f>
          </x14:formula1>
          <xm:sqref>D8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5125A-9FC5-4D18-91DE-9BCE8C2F15B9}">
  <dimension ref="B2:E9"/>
  <sheetViews>
    <sheetView workbookViewId="0">
      <selection activeCell="B11" sqref="B11"/>
    </sheetView>
  </sheetViews>
  <sheetFormatPr defaultRowHeight="15" x14ac:dyDescent="0.25"/>
  <cols>
    <col min="2" max="2" width="13" customWidth="1"/>
    <col min="3" max="3" width="13.42578125" customWidth="1"/>
    <col min="4" max="4" width="11.42578125" customWidth="1"/>
    <col min="5" max="5" width="11.85546875" customWidth="1"/>
  </cols>
  <sheetData>
    <row r="2" spans="2:5" ht="15.75" thickBot="1" x14ac:dyDescent="0.3"/>
    <row r="3" spans="2:5" x14ac:dyDescent="0.25">
      <c r="B3" s="152" t="s">
        <v>44</v>
      </c>
      <c r="C3" s="153"/>
      <c r="D3" s="34" t="s">
        <v>36</v>
      </c>
      <c r="E3" s="33" t="s">
        <v>37</v>
      </c>
    </row>
    <row r="4" spans="2:5" ht="15.75" thickBot="1" x14ac:dyDescent="0.3">
      <c r="B4" s="101" t="s">
        <v>39</v>
      </c>
      <c r="C4" s="102" t="s">
        <v>46</v>
      </c>
      <c r="D4" s="102" t="s">
        <v>45</v>
      </c>
      <c r="E4" s="103" t="s">
        <v>45</v>
      </c>
    </row>
    <row r="5" spans="2:5" x14ac:dyDescent="0.25">
      <c r="B5" s="94">
        <v>0</v>
      </c>
      <c r="C5" s="95">
        <v>1500</v>
      </c>
      <c r="D5" s="104">
        <v>0.02</v>
      </c>
      <c r="E5" s="96">
        <v>0.01</v>
      </c>
    </row>
    <row r="6" spans="2:5" x14ac:dyDescent="0.25">
      <c r="B6" s="74">
        <v>1500</v>
      </c>
      <c r="C6" s="75">
        <v>5000</v>
      </c>
      <c r="D6" s="76">
        <v>0.02</v>
      </c>
      <c r="E6" s="105">
        <v>0.02</v>
      </c>
    </row>
    <row r="7" spans="2:5" x14ac:dyDescent="0.25">
      <c r="B7" s="74">
        <v>5001</v>
      </c>
      <c r="C7" s="75"/>
      <c r="D7" s="106">
        <v>100</v>
      </c>
      <c r="E7" s="107">
        <v>100</v>
      </c>
    </row>
    <row r="8" spans="2:5" x14ac:dyDescent="0.25">
      <c r="B8" s="74"/>
      <c r="C8" s="75"/>
      <c r="D8" s="106"/>
      <c r="E8" s="107"/>
    </row>
    <row r="9" spans="2:5" ht="15.75" thickBot="1" x14ac:dyDescent="0.3">
      <c r="B9" s="78">
        <v>10000</v>
      </c>
      <c r="C9" s="79">
        <v>100</v>
      </c>
      <c r="D9" s="108"/>
      <c r="E9" s="109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DF36-75EE-4D5E-8C22-39845E3ED36B}">
  <dimension ref="E32:J36"/>
  <sheetViews>
    <sheetView topLeftCell="A19" workbookViewId="0">
      <selection activeCell="J34" sqref="J34"/>
    </sheetView>
  </sheetViews>
  <sheetFormatPr defaultRowHeight="15" x14ac:dyDescent="0.25"/>
  <cols>
    <col min="1" max="11" width="10.7109375" customWidth="1"/>
  </cols>
  <sheetData>
    <row r="32" ht="11.25" customHeight="1" thickBot="1" x14ac:dyDescent="0.3"/>
    <row r="33" spans="5:10" ht="15.75" thickBot="1" x14ac:dyDescent="0.3">
      <c r="E33" s="154">
        <v>2023</v>
      </c>
      <c r="F33" s="155"/>
      <c r="G33" s="156"/>
      <c r="I33" s="1"/>
      <c r="J33" s="1"/>
    </row>
    <row r="34" spans="5:10" ht="22.5" customHeight="1" thickBot="1" x14ac:dyDescent="0.3">
      <c r="E34" s="94">
        <v>0</v>
      </c>
      <c r="F34" s="95">
        <v>10000</v>
      </c>
      <c r="G34" s="96">
        <v>0</v>
      </c>
      <c r="I34" s="37" t="s">
        <v>36</v>
      </c>
      <c r="J34" s="100" t="s">
        <v>37</v>
      </c>
    </row>
    <row r="35" spans="5:10" ht="21" customHeight="1" thickBot="1" x14ac:dyDescent="0.3">
      <c r="E35" s="78">
        <v>10001</v>
      </c>
      <c r="F35" s="79">
        <v>90000</v>
      </c>
      <c r="G35" s="97">
        <v>4.4999999999999998E-2</v>
      </c>
      <c r="I35" s="98">
        <f>G35/2</f>
        <v>2.2499999999999999E-2</v>
      </c>
      <c r="J35" s="99">
        <f>G35/2</f>
        <v>2.2499999999999999E-2</v>
      </c>
    </row>
    <row r="36" spans="5:10" ht="24.75" customHeight="1" x14ac:dyDescent="0.25"/>
  </sheetData>
  <mergeCells count="1">
    <mergeCell ref="E33:G3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1ACA-3C7D-4CC4-8E81-1376D376BED1}">
  <dimension ref="B2:N58"/>
  <sheetViews>
    <sheetView workbookViewId="0">
      <selection activeCell="E11" sqref="E11"/>
    </sheetView>
  </sheetViews>
  <sheetFormatPr defaultRowHeight="15" x14ac:dyDescent="0.25"/>
  <cols>
    <col min="2" max="2" width="15.5703125" customWidth="1"/>
    <col min="3" max="3" width="16" customWidth="1"/>
    <col min="4" max="4" width="13.85546875" customWidth="1"/>
    <col min="5" max="5" width="14" customWidth="1"/>
    <col min="6" max="6" width="12.42578125" customWidth="1"/>
    <col min="7" max="7" width="12.85546875" customWidth="1"/>
    <col min="8" max="9" width="14.140625" customWidth="1"/>
    <col min="10" max="10" width="10.85546875" customWidth="1"/>
    <col min="11" max="11" width="13.28515625" customWidth="1"/>
    <col min="12" max="12" width="12.7109375" customWidth="1"/>
    <col min="13" max="13" width="14.7109375" customWidth="1"/>
    <col min="14" max="14" width="14.140625" customWidth="1"/>
  </cols>
  <sheetData>
    <row r="2" spans="2:14" ht="15.75" thickBot="1" x14ac:dyDescent="0.3">
      <c r="B2" t="s">
        <v>26</v>
      </c>
    </row>
    <row r="3" spans="2:14" ht="15.75" thickBot="1" x14ac:dyDescent="0.3">
      <c r="B3" s="2" t="s">
        <v>27</v>
      </c>
      <c r="C3" s="3"/>
      <c r="D3" s="4" t="s">
        <v>28</v>
      </c>
      <c r="E3" s="5"/>
      <c r="F3" s="6" t="s">
        <v>29</v>
      </c>
      <c r="G3" s="7"/>
      <c r="H3" s="7"/>
      <c r="I3" s="7"/>
      <c r="J3" s="7"/>
      <c r="K3" s="7"/>
      <c r="L3" s="7"/>
      <c r="M3" s="7"/>
      <c r="N3" s="8"/>
    </row>
    <row r="4" spans="2:14" ht="30.75" thickBot="1" x14ac:dyDescent="0.3">
      <c r="B4" s="9" t="s">
        <v>30</v>
      </c>
      <c r="C4" s="10"/>
      <c r="D4" s="11" t="s">
        <v>31</v>
      </c>
      <c r="E4" s="12"/>
      <c r="F4" s="13" t="s">
        <v>31</v>
      </c>
      <c r="G4" s="14"/>
      <c r="H4" s="15"/>
      <c r="I4" s="16" t="s">
        <v>21</v>
      </c>
      <c r="J4" s="16"/>
      <c r="K4" s="16"/>
      <c r="L4" s="17" t="s">
        <v>32</v>
      </c>
      <c r="M4" s="17"/>
      <c r="N4" s="18"/>
    </row>
    <row r="5" spans="2:14" ht="15.75" thickBot="1" x14ac:dyDescent="0.3">
      <c r="B5" s="19" t="s">
        <v>33</v>
      </c>
      <c r="C5" s="20"/>
      <c r="D5" s="21" t="s">
        <v>21</v>
      </c>
      <c r="E5" s="22" t="s">
        <v>32</v>
      </c>
      <c r="F5" s="23" t="s">
        <v>34</v>
      </c>
      <c r="G5" s="24" t="s">
        <v>35</v>
      </c>
      <c r="H5" s="25" t="s">
        <v>32</v>
      </c>
      <c r="I5" s="26" t="s">
        <v>34</v>
      </c>
      <c r="J5" s="27" t="s">
        <v>35</v>
      </c>
      <c r="K5" s="28" t="s">
        <v>32</v>
      </c>
      <c r="L5" s="23" t="s">
        <v>34</v>
      </c>
      <c r="M5" s="24" t="s">
        <v>35</v>
      </c>
      <c r="N5" s="25" t="s">
        <v>32</v>
      </c>
    </row>
    <row r="6" spans="2:14" ht="15.75" thickBot="1" x14ac:dyDescent="0.3">
      <c r="B6" s="29">
        <v>1</v>
      </c>
      <c r="C6" s="29">
        <v>4249.99</v>
      </c>
      <c r="D6" s="30">
        <f>IFERROR(IF(D5=20000,20000,D5+500),4000)</f>
        <v>4000</v>
      </c>
      <c r="E6" s="31">
        <f t="shared" ref="E6:E37" si="0">SUM(D6:D6)</f>
        <v>4000</v>
      </c>
      <c r="F6" s="30">
        <f t="shared" ref="F6:F38" si="1">IFERROR(IF(F5=1900,1900,F5+47.5),380)</f>
        <v>380</v>
      </c>
      <c r="G6" s="30">
        <f t="shared" ref="G6:G38" si="2">IFERROR(IF(G5=900,900,G5+22.5),180)</f>
        <v>180</v>
      </c>
      <c r="H6" s="30">
        <f>SUM(F6:G6)</f>
        <v>560</v>
      </c>
      <c r="I6" s="30">
        <v>10</v>
      </c>
      <c r="J6" s="30">
        <v>0</v>
      </c>
      <c r="K6" s="30">
        <f>SUM(I6:J6)</f>
        <v>10</v>
      </c>
      <c r="L6" s="30">
        <f>F6+I6</f>
        <v>390</v>
      </c>
      <c r="M6" s="30">
        <f>G6+J6</f>
        <v>180</v>
      </c>
      <c r="N6" s="30">
        <f>SUM(L6:M6)</f>
        <v>570</v>
      </c>
    </row>
    <row r="7" spans="2:14" ht="15.75" thickBot="1" x14ac:dyDescent="0.3">
      <c r="B7" s="30">
        <v>4250</v>
      </c>
      <c r="C7" s="30">
        <v>4749.99</v>
      </c>
      <c r="D7" s="30">
        <f t="shared" ref="D7:D38" si="3">IF(D6=20000,20000,D6+500)</f>
        <v>4500</v>
      </c>
      <c r="E7" s="31">
        <f t="shared" si="0"/>
        <v>4500</v>
      </c>
      <c r="F7" s="30">
        <f t="shared" si="1"/>
        <v>427.5</v>
      </c>
      <c r="G7" s="30">
        <f t="shared" si="2"/>
        <v>202.5</v>
      </c>
      <c r="H7" s="30">
        <f t="shared" ref="H7:H49" si="4">SUM(F7:G7)</f>
        <v>630</v>
      </c>
      <c r="I7" s="30">
        <v>10</v>
      </c>
      <c r="J7" s="30">
        <v>0</v>
      </c>
      <c r="K7" s="30">
        <f t="shared" ref="K7:K49" si="5">SUM(I7:J7)</f>
        <v>10</v>
      </c>
      <c r="L7" s="30">
        <f t="shared" ref="L7:M58" si="6">F7+I7</f>
        <v>437.5</v>
      </c>
      <c r="M7" s="30">
        <f t="shared" si="6"/>
        <v>202.5</v>
      </c>
      <c r="N7" s="30">
        <f t="shared" ref="N7:N58" si="7">SUM(L7:M7)</f>
        <v>640</v>
      </c>
    </row>
    <row r="8" spans="2:14" ht="15.75" thickBot="1" x14ac:dyDescent="0.3">
      <c r="B8" s="30">
        <v>4750</v>
      </c>
      <c r="C8" s="30">
        <v>5249.99</v>
      </c>
      <c r="D8" s="30">
        <f t="shared" si="3"/>
        <v>5000</v>
      </c>
      <c r="E8" s="31">
        <f t="shared" si="0"/>
        <v>5000</v>
      </c>
      <c r="F8" s="30">
        <f t="shared" si="1"/>
        <v>475</v>
      </c>
      <c r="G8" s="30">
        <f t="shared" si="2"/>
        <v>225</v>
      </c>
      <c r="H8" s="30">
        <f t="shared" si="4"/>
        <v>700</v>
      </c>
      <c r="I8" s="30">
        <v>10</v>
      </c>
      <c r="J8" s="30">
        <v>0</v>
      </c>
      <c r="K8" s="30">
        <f t="shared" si="5"/>
        <v>10</v>
      </c>
      <c r="L8" s="30">
        <f t="shared" si="6"/>
        <v>485</v>
      </c>
      <c r="M8" s="30">
        <f t="shared" si="6"/>
        <v>225</v>
      </c>
      <c r="N8" s="30">
        <f t="shared" si="7"/>
        <v>710</v>
      </c>
    </row>
    <row r="9" spans="2:14" ht="15.75" thickBot="1" x14ac:dyDescent="0.3">
      <c r="B9" s="30">
        <v>5250</v>
      </c>
      <c r="C9" s="30">
        <v>5749.99</v>
      </c>
      <c r="D9" s="30">
        <f t="shared" si="3"/>
        <v>5500</v>
      </c>
      <c r="E9" s="31">
        <f t="shared" si="0"/>
        <v>5500</v>
      </c>
      <c r="F9" s="30">
        <f t="shared" si="1"/>
        <v>522.5</v>
      </c>
      <c r="G9" s="30">
        <f t="shared" si="2"/>
        <v>247.5</v>
      </c>
      <c r="H9" s="30">
        <f t="shared" si="4"/>
        <v>770</v>
      </c>
      <c r="I9" s="30">
        <v>10</v>
      </c>
      <c r="J9" s="30">
        <v>0</v>
      </c>
      <c r="K9" s="30">
        <f t="shared" si="5"/>
        <v>10</v>
      </c>
      <c r="L9" s="30">
        <f t="shared" si="6"/>
        <v>532.5</v>
      </c>
      <c r="M9" s="30">
        <f t="shared" si="6"/>
        <v>247.5</v>
      </c>
      <c r="N9" s="30">
        <f t="shared" si="7"/>
        <v>780</v>
      </c>
    </row>
    <row r="10" spans="2:14" ht="15.75" thickBot="1" x14ac:dyDescent="0.3">
      <c r="B10" s="30">
        <v>5750</v>
      </c>
      <c r="C10" s="30">
        <v>6249.99</v>
      </c>
      <c r="D10" s="30">
        <f t="shared" si="3"/>
        <v>6000</v>
      </c>
      <c r="E10" s="31">
        <f t="shared" si="0"/>
        <v>6000</v>
      </c>
      <c r="F10" s="30">
        <f t="shared" si="1"/>
        <v>570</v>
      </c>
      <c r="G10" s="30">
        <f t="shared" si="2"/>
        <v>270</v>
      </c>
      <c r="H10" s="30">
        <f t="shared" si="4"/>
        <v>840</v>
      </c>
      <c r="I10" s="30">
        <v>10</v>
      </c>
      <c r="J10" s="30">
        <v>0</v>
      </c>
      <c r="K10" s="30">
        <f t="shared" si="5"/>
        <v>10</v>
      </c>
      <c r="L10" s="30">
        <f t="shared" si="6"/>
        <v>580</v>
      </c>
      <c r="M10" s="30">
        <f t="shared" si="6"/>
        <v>270</v>
      </c>
      <c r="N10" s="30">
        <f t="shared" si="7"/>
        <v>850</v>
      </c>
    </row>
    <row r="11" spans="2:14" ht="15.75" thickBot="1" x14ac:dyDescent="0.3">
      <c r="B11" s="30">
        <v>6250</v>
      </c>
      <c r="C11" s="30">
        <v>6749.99</v>
      </c>
      <c r="D11" s="30">
        <f t="shared" si="3"/>
        <v>6500</v>
      </c>
      <c r="E11" s="31">
        <f t="shared" si="0"/>
        <v>6500</v>
      </c>
      <c r="F11" s="30">
        <f t="shared" si="1"/>
        <v>617.5</v>
      </c>
      <c r="G11" s="30">
        <f t="shared" si="2"/>
        <v>292.5</v>
      </c>
      <c r="H11" s="30">
        <f t="shared" si="4"/>
        <v>910</v>
      </c>
      <c r="I11" s="30">
        <v>10</v>
      </c>
      <c r="K11" s="30">
        <f t="shared" si="5"/>
        <v>10</v>
      </c>
      <c r="L11" s="30">
        <f t="shared" si="6"/>
        <v>627.5</v>
      </c>
      <c r="M11" s="30">
        <f t="shared" si="6"/>
        <v>292.5</v>
      </c>
      <c r="N11" s="30">
        <f t="shared" si="7"/>
        <v>920</v>
      </c>
    </row>
    <row r="12" spans="2:14" ht="15.75" thickBot="1" x14ac:dyDescent="0.3">
      <c r="B12" s="30">
        <v>6750</v>
      </c>
      <c r="C12" s="30">
        <v>7249.99</v>
      </c>
      <c r="D12" s="30">
        <f t="shared" si="3"/>
        <v>7000</v>
      </c>
      <c r="E12" s="31">
        <f t="shared" si="0"/>
        <v>7000</v>
      </c>
      <c r="F12" s="30">
        <f t="shared" si="1"/>
        <v>665</v>
      </c>
      <c r="G12" s="30">
        <f t="shared" si="2"/>
        <v>315</v>
      </c>
      <c r="H12" s="30">
        <f t="shared" si="4"/>
        <v>980</v>
      </c>
      <c r="I12" s="30">
        <v>10</v>
      </c>
      <c r="J12" s="30">
        <v>0</v>
      </c>
      <c r="K12" s="30">
        <f t="shared" si="5"/>
        <v>10</v>
      </c>
      <c r="L12" s="30">
        <f t="shared" si="6"/>
        <v>675</v>
      </c>
      <c r="M12" s="30">
        <f t="shared" si="6"/>
        <v>315</v>
      </c>
      <c r="N12" s="30">
        <f t="shared" si="7"/>
        <v>990</v>
      </c>
    </row>
    <row r="13" spans="2:14" ht="15.75" thickBot="1" x14ac:dyDescent="0.3">
      <c r="B13" s="30">
        <v>7250</v>
      </c>
      <c r="C13" s="30">
        <v>7749.99</v>
      </c>
      <c r="D13" s="30">
        <f t="shared" si="3"/>
        <v>7500</v>
      </c>
      <c r="E13" s="31">
        <f t="shared" si="0"/>
        <v>7500</v>
      </c>
      <c r="F13" s="30">
        <f t="shared" si="1"/>
        <v>712.5</v>
      </c>
      <c r="G13" s="30">
        <f t="shared" si="2"/>
        <v>337.5</v>
      </c>
      <c r="H13" s="30">
        <f t="shared" si="4"/>
        <v>1050</v>
      </c>
      <c r="I13" s="30">
        <v>10</v>
      </c>
      <c r="J13" s="30">
        <v>0</v>
      </c>
      <c r="K13" s="30">
        <f t="shared" si="5"/>
        <v>10</v>
      </c>
      <c r="L13" s="30">
        <f t="shared" si="6"/>
        <v>722.5</v>
      </c>
      <c r="M13" s="30">
        <f t="shared" si="6"/>
        <v>337.5</v>
      </c>
      <c r="N13" s="30">
        <f t="shared" si="7"/>
        <v>1060</v>
      </c>
    </row>
    <row r="14" spans="2:14" ht="15.75" thickBot="1" x14ac:dyDescent="0.3">
      <c r="B14" s="30">
        <v>7750</v>
      </c>
      <c r="C14" s="30">
        <v>8249.99</v>
      </c>
      <c r="D14" s="30">
        <f t="shared" si="3"/>
        <v>8000</v>
      </c>
      <c r="E14" s="31">
        <f t="shared" si="0"/>
        <v>8000</v>
      </c>
      <c r="F14" s="30">
        <f t="shared" si="1"/>
        <v>760</v>
      </c>
      <c r="G14" s="30">
        <f t="shared" si="2"/>
        <v>360</v>
      </c>
      <c r="H14" s="30">
        <f t="shared" si="4"/>
        <v>1120</v>
      </c>
      <c r="I14" s="30">
        <v>10</v>
      </c>
      <c r="J14" s="30">
        <v>0</v>
      </c>
      <c r="K14" s="30">
        <f t="shared" si="5"/>
        <v>10</v>
      </c>
      <c r="L14" s="30">
        <f t="shared" si="6"/>
        <v>770</v>
      </c>
      <c r="M14" s="30">
        <f t="shared" si="6"/>
        <v>360</v>
      </c>
      <c r="N14" s="30">
        <f t="shared" si="7"/>
        <v>1130</v>
      </c>
    </row>
    <row r="15" spans="2:14" ht="15.75" thickBot="1" x14ac:dyDescent="0.3">
      <c r="B15" s="30">
        <v>8250</v>
      </c>
      <c r="C15" s="30">
        <v>8749.99</v>
      </c>
      <c r="D15" s="30">
        <f t="shared" si="3"/>
        <v>8500</v>
      </c>
      <c r="E15" s="31">
        <f t="shared" si="0"/>
        <v>8500</v>
      </c>
      <c r="F15" s="30">
        <f t="shared" si="1"/>
        <v>807.5</v>
      </c>
      <c r="G15" s="30">
        <f t="shared" si="2"/>
        <v>382.5</v>
      </c>
      <c r="H15" s="30">
        <f t="shared" si="4"/>
        <v>1190</v>
      </c>
      <c r="I15" s="30">
        <v>10</v>
      </c>
      <c r="J15" s="30">
        <v>0</v>
      </c>
      <c r="K15" s="30">
        <f t="shared" si="5"/>
        <v>10</v>
      </c>
      <c r="L15" s="30">
        <f t="shared" si="6"/>
        <v>817.5</v>
      </c>
      <c r="M15" s="30">
        <f t="shared" si="6"/>
        <v>382.5</v>
      </c>
      <c r="N15" s="30">
        <f t="shared" si="7"/>
        <v>1200</v>
      </c>
    </row>
    <row r="16" spans="2:14" ht="15.75" thickBot="1" x14ac:dyDescent="0.3">
      <c r="B16" s="30">
        <v>8750</v>
      </c>
      <c r="C16" s="30">
        <v>9249.99</v>
      </c>
      <c r="D16" s="30">
        <f t="shared" si="3"/>
        <v>9000</v>
      </c>
      <c r="E16" s="31">
        <f t="shared" si="0"/>
        <v>9000</v>
      </c>
      <c r="F16" s="30">
        <f t="shared" si="1"/>
        <v>855</v>
      </c>
      <c r="G16" s="30">
        <f t="shared" si="2"/>
        <v>405</v>
      </c>
      <c r="H16" s="30">
        <f t="shared" si="4"/>
        <v>1260</v>
      </c>
      <c r="I16" s="30">
        <v>10</v>
      </c>
      <c r="J16" s="30">
        <v>0</v>
      </c>
      <c r="K16" s="30">
        <f t="shared" si="5"/>
        <v>10</v>
      </c>
      <c r="L16" s="30">
        <f t="shared" si="6"/>
        <v>865</v>
      </c>
      <c r="M16" s="30">
        <f t="shared" si="6"/>
        <v>405</v>
      </c>
      <c r="N16" s="30">
        <f t="shared" si="7"/>
        <v>1270</v>
      </c>
    </row>
    <row r="17" spans="2:14" ht="15.75" thickBot="1" x14ac:dyDescent="0.3">
      <c r="B17" s="30">
        <v>9250</v>
      </c>
      <c r="C17" s="30">
        <v>9749.99</v>
      </c>
      <c r="D17" s="30">
        <f t="shared" si="3"/>
        <v>9500</v>
      </c>
      <c r="E17" s="31">
        <f t="shared" si="0"/>
        <v>9500</v>
      </c>
      <c r="F17" s="30">
        <f t="shared" si="1"/>
        <v>902.5</v>
      </c>
      <c r="G17" s="30">
        <f t="shared" si="2"/>
        <v>427.5</v>
      </c>
      <c r="H17" s="30">
        <f t="shared" si="4"/>
        <v>1330</v>
      </c>
      <c r="I17" s="30">
        <v>10</v>
      </c>
      <c r="J17" s="30">
        <v>0</v>
      </c>
      <c r="K17" s="30">
        <f t="shared" si="5"/>
        <v>10</v>
      </c>
      <c r="L17" s="30">
        <f t="shared" si="6"/>
        <v>912.5</v>
      </c>
      <c r="M17" s="30">
        <f t="shared" si="6"/>
        <v>427.5</v>
      </c>
      <c r="N17" s="30">
        <f t="shared" si="7"/>
        <v>1340</v>
      </c>
    </row>
    <row r="18" spans="2:14" ht="15.75" thickBot="1" x14ac:dyDescent="0.3">
      <c r="B18" s="30">
        <v>9750</v>
      </c>
      <c r="C18" s="30">
        <v>10249.99</v>
      </c>
      <c r="D18" s="30">
        <f t="shared" si="3"/>
        <v>10000</v>
      </c>
      <c r="E18" s="31">
        <f t="shared" si="0"/>
        <v>10000</v>
      </c>
      <c r="F18" s="30">
        <f t="shared" si="1"/>
        <v>950</v>
      </c>
      <c r="G18" s="30">
        <f t="shared" si="2"/>
        <v>450</v>
      </c>
      <c r="H18" s="30">
        <f t="shared" si="4"/>
        <v>1400</v>
      </c>
      <c r="I18" s="30">
        <v>10</v>
      </c>
      <c r="J18" s="30">
        <v>0</v>
      </c>
      <c r="K18" s="30">
        <f t="shared" si="5"/>
        <v>10</v>
      </c>
      <c r="L18" s="30">
        <f t="shared" si="6"/>
        <v>960</v>
      </c>
      <c r="M18" s="30">
        <f t="shared" si="6"/>
        <v>450</v>
      </c>
      <c r="N18" s="30">
        <f t="shared" si="7"/>
        <v>1410</v>
      </c>
    </row>
    <row r="19" spans="2:14" ht="15.75" thickBot="1" x14ac:dyDescent="0.3">
      <c r="B19" s="30">
        <v>10250</v>
      </c>
      <c r="C19" s="30">
        <v>10749.99</v>
      </c>
      <c r="D19" s="30">
        <f t="shared" si="3"/>
        <v>10500</v>
      </c>
      <c r="E19" s="31">
        <f t="shared" si="0"/>
        <v>10500</v>
      </c>
      <c r="F19" s="30">
        <f t="shared" si="1"/>
        <v>997.5</v>
      </c>
      <c r="G19" s="30">
        <f t="shared" si="2"/>
        <v>472.5</v>
      </c>
      <c r="H19" s="30">
        <f t="shared" si="4"/>
        <v>1470</v>
      </c>
      <c r="I19" s="30">
        <v>10</v>
      </c>
      <c r="J19" s="30">
        <v>0</v>
      </c>
      <c r="K19" s="30">
        <f t="shared" si="5"/>
        <v>10</v>
      </c>
      <c r="L19" s="30">
        <f t="shared" si="6"/>
        <v>1007.5</v>
      </c>
      <c r="M19" s="30">
        <f t="shared" si="6"/>
        <v>472.5</v>
      </c>
      <c r="N19" s="30">
        <f t="shared" si="7"/>
        <v>1480</v>
      </c>
    </row>
    <row r="20" spans="2:14" ht="15.75" thickBot="1" x14ac:dyDescent="0.3">
      <c r="B20" s="30">
        <v>10750</v>
      </c>
      <c r="C20" s="30">
        <v>11249.99</v>
      </c>
      <c r="D20" s="30">
        <f t="shared" si="3"/>
        <v>11000</v>
      </c>
      <c r="E20" s="31">
        <f t="shared" si="0"/>
        <v>11000</v>
      </c>
      <c r="F20" s="30">
        <f t="shared" si="1"/>
        <v>1045</v>
      </c>
      <c r="G20" s="30">
        <f t="shared" si="2"/>
        <v>495</v>
      </c>
      <c r="H20" s="30">
        <f t="shared" si="4"/>
        <v>1540</v>
      </c>
      <c r="I20" s="30">
        <v>10</v>
      </c>
      <c r="J20" s="30">
        <v>0</v>
      </c>
      <c r="K20" s="30">
        <f t="shared" si="5"/>
        <v>10</v>
      </c>
      <c r="L20" s="30">
        <f t="shared" si="6"/>
        <v>1055</v>
      </c>
      <c r="M20" s="30">
        <f t="shared" si="6"/>
        <v>495</v>
      </c>
      <c r="N20" s="30">
        <f t="shared" si="7"/>
        <v>1550</v>
      </c>
    </row>
    <row r="21" spans="2:14" ht="15.75" thickBot="1" x14ac:dyDescent="0.3">
      <c r="B21" s="30">
        <v>11250</v>
      </c>
      <c r="C21" s="30">
        <v>11749.99</v>
      </c>
      <c r="D21" s="30">
        <f t="shared" si="3"/>
        <v>11500</v>
      </c>
      <c r="E21" s="31">
        <f t="shared" si="0"/>
        <v>11500</v>
      </c>
      <c r="F21" s="30">
        <f t="shared" si="1"/>
        <v>1092.5</v>
      </c>
      <c r="G21" s="30">
        <f t="shared" si="2"/>
        <v>517.5</v>
      </c>
      <c r="H21" s="30">
        <f t="shared" si="4"/>
        <v>1610</v>
      </c>
      <c r="I21" s="30">
        <v>10</v>
      </c>
      <c r="J21" s="30">
        <v>0</v>
      </c>
      <c r="K21" s="30">
        <f t="shared" si="5"/>
        <v>10</v>
      </c>
      <c r="L21" s="30">
        <f t="shared" si="6"/>
        <v>1102.5</v>
      </c>
      <c r="M21" s="30">
        <f t="shared" si="6"/>
        <v>517.5</v>
      </c>
      <c r="N21" s="30">
        <f t="shared" si="7"/>
        <v>1620</v>
      </c>
    </row>
    <row r="22" spans="2:14" ht="15.75" thickBot="1" x14ac:dyDescent="0.3">
      <c r="B22" s="30">
        <v>11750</v>
      </c>
      <c r="C22" s="30">
        <v>12249.99</v>
      </c>
      <c r="D22" s="30">
        <f t="shared" si="3"/>
        <v>12000</v>
      </c>
      <c r="E22" s="31">
        <f t="shared" si="0"/>
        <v>12000</v>
      </c>
      <c r="F22" s="30">
        <f t="shared" si="1"/>
        <v>1140</v>
      </c>
      <c r="G22" s="30">
        <f t="shared" si="2"/>
        <v>540</v>
      </c>
      <c r="H22" s="30">
        <f t="shared" si="4"/>
        <v>1680</v>
      </c>
      <c r="I22" s="30">
        <v>10</v>
      </c>
      <c r="J22" s="30">
        <v>0</v>
      </c>
      <c r="K22" s="30">
        <f t="shared" si="5"/>
        <v>10</v>
      </c>
      <c r="L22" s="30">
        <f t="shared" si="6"/>
        <v>1150</v>
      </c>
      <c r="M22" s="30">
        <f t="shared" si="6"/>
        <v>540</v>
      </c>
      <c r="N22" s="30">
        <f t="shared" si="7"/>
        <v>1690</v>
      </c>
    </row>
    <row r="23" spans="2:14" ht="15.75" thickBot="1" x14ac:dyDescent="0.3">
      <c r="B23" s="30">
        <v>12250</v>
      </c>
      <c r="C23" s="30">
        <v>12749.99</v>
      </c>
      <c r="D23" s="30">
        <f t="shared" si="3"/>
        <v>12500</v>
      </c>
      <c r="E23" s="31">
        <f t="shared" si="0"/>
        <v>12500</v>
      </c>
      <c r="F23" s="30">
        <f t="shared" si="1"/>
        <v>1187.5</v>
      </c>
      <c r="G23" s="30">
        <f t="shared" si="2"/>
        <v>562.5</v>
      </c>
      <c r="H23" s="30">
        <f t="shared" si="4"/>
        <v>1750</v>
      </c>
      <c r="I23" s="30">
        <v>10</v>
      </c>
      <c r="J23" s="30">
        <v>0</v>
      </c>
      <c r="K23" s="30">
        <f t="shared" si="5"/>
        <v>10</v>
      </c>
      <c r="L23" s="30">
        <f t="shared" si="6"/>
        <v>1197.5</v>
      </c>
      <c r="M23" s="30">
        <f t="shared" si="6"/>
        <v>562.5</v>
      </c>
      <c r="N23" s="30">
        <f t="shared" si="7"/>
        <v>1760</v>
      </c>
    </row>
    <row r="24" spans="2:14" ht="15.75" thickBot="1" x14ac:dyDescent="0.3">
      <c r="B24" s="30">
        <v>12750</v>
      </c>
      <c r="C24" s="30">
        <v>13249.99</v>
      </c>
      <c r="D24" s="30">
        <f t="shared" si="3"/>
        <v>13000</v>
      </c>
      <c r="E24" s="31">
        <f t="shared" si="0"/>
        <v>13000</v>
      </c>
      <c r="F24" s="30">
        <f t="shared" si="1"/>
        <v>1235</v>
      </c>
      <c r="G24" s="30">
        <f t="shared" si="2"/>
        <v>585</v>
      </c>
      <c r="H24" s="30">
        <f t="shared" si="4"/>
        <v>1820</v>
      </c>
      <c r="I24" s="30">
        <v>10</v>
      </c>
      <c r="J24" s="30">
        <v>0</v>
      </c>
      <c r="K24" s="30">
        <f t="shared" si="5"/>
        <v>10</v>
      </c>
      <c r="L24" s="30">
        <f t="shared" si="6"/>
        <v>1245</v>
      </c>
      <c r="M24" s="30">
        <f t="shared" si="6"/>
        <v>585</v>
      </c>
      <c r="N24" s="30">
        <f t="shared" si="7"/>
        <v>1830</v>
      </c>
    </row>
    <row r="25" spans="2:14" ht="15.75" thickBot="1" x14ac:dyDescent="0.3">
      <c r="B25" s="30">
        <v>13250</v>
      </c>
      <c r="C25" s="30">
        <v>13749.99</v>
      </c>
      <c r="D25" s="30">
        <f t="shared" si="3"/>
        <v>13500</v>
      </c>
      <c r="E25" s="31">
        <f t="shared" si="0"/>
        <v>13500</v>
      </c>
      <c r="F25" s="30">
        <f t="shared" si="1"/>
        <v>1282.5</v>
      </c>
      <c r="G25" s="30">
        <f t="shared" si="2"/>
        <v>607.5</v>
      </c>
      <c r="H25" s="30">
        <f t="shared" si="4"/>
        <v>1890</v>
      </c>
      <c r="I25" s="30">
        <v>10</v>
      </c>
      <c r="J25" s="30">
        <v>0</v>
      </c>
      <c r="K25" s="30">
        <f t="shared" si="5"/>
        <v>10</v>
      </c>
      <c r="L25" s="30">
        <f t="shared" si="6"/>
        <v>1292.5</v>
      </c>
      <c r="M25" s="30">
        <f t="shared" si="6"/>
        <v>607.5</v>
      </c>
      <c r="N25" s="30">
        <f t="shared" si="7"/>
        <v>1900</v>
      </c>
    </row>
    <row r="26" spans="2:14" ht="15.75" thickBot="1" x14ac:dyDescent="0.3">
      <c r="B26" s="30">
        <v>13750</v>
      </c>
      <c r="C26" s="30">
        <v>14249.99</v>
      </c>
      <c r="D26" s="30">
        <f t="shared" si="3"/>
        <v>14000</v>
      </c>
      <c r="E26" s="31">
        <f t="shared" si="0"/>
        <v>14000</v>
      </c>
      <c r="F26" s="30">
        <f t="shared" si="1"/>
        <v>1330</v>
      </c>
      <c r="G26" s="30">
        <f t="shared" si="2"/>
        <v>630</v>
      </c>
      <c r="H26" s="30">
        <f t="shared" si="4"/>
        <v>1960</v>
      </c>
      <c r="I26" s="30">
        <v>10</v>
      </c>
      <c r="J26" s="30">
        <v>0</v>
      </c>
      <c r="K26" s="30">
        <f t="shared" si="5"/>
        <v>10</v>
      </c>
      <c r="L26" s="30">
        <f t="shared" si="6"/>
        <v>1340</v>
      </c>
      <c r="M26" s="30">
        <f t="shared" si="6"/>
        <v>630</v>
      </c>
      <c r="N26" s="30">
        <f t="shared" si="7"/>
        <v>1970</v>
      </c>
    </row>
    <row r="27" spans="2:14" ht="15.75" thickBot="1" x14ac:dyDescent="0.3">
      <c r="B27" s="30">
        <v>14250</v>
      </c>
      <c r="C27" s="30">
        <v>14749.99</v>
      </c>
      <c r="D27" s="30">
        <f t="shared" si="3"/>
        <v>14500</v>
      </c>
      <c r="E27" s="31">
        <f t="shared" si="0"/>
        <v>14500</v>
      </c>
      <c r="F27" s="30">
        <f t="shared" si="1"/>
        <v>1377.5</v>
      </c>
      <c r="G27" s="30">
        <f t="shared" si="2"/>
        <v>652.5</v>
      </c>
      <c r="H27" s="30">
        <f t="shared" si="4"/>
        <v>2030</v>
      </c>
      <c r="I27" s="30">
        <v>10</v>
      </c>
      <c r="J27" s="30">
        <v>0</v>
      </c>
      <c r="K27" s="30">
        <f t="shared" si="5"/>
        <v>10</v>
      </c>
      <c r="L27" s="30">
        <f t="shared" si="6"/>
        <v>1387.5</v>
      </c>
      <c r="M27" s="30">
        <f t="shared" si="6"/>
        <v>652.5</v>
      </c>
      <c r="N27" s="30">
        <f t="shared" si="7"/>
        <v>2040</v>
      </c>
    </row>
    <row r="28" spans="2:14" ht="15.75" thickBot="1" x14ac:dyDescent="0.3">
      <c r="B28" s="30">
        <v>14750</v>
      </c>
      <c r="C28" s="30">
        <v>15249.99</v>
      </c>
      <c r="D28" s="30">
        <f t="shared" si="3"/>
        <v>15000</v>
      </c>
      <c r="E28" s="31">
        <f t="shared" si="0"/>
        <v>15000</v>
      </c>
      <c r="F28" s="30">
        <f t="shared" si="1"/>
        <v>1425</v>
      </c>
      <c r="G28" s="30">
        <f t="shared" si="2"/>
        <v>675</v>
      </c>
      <c r="H28" s="30">
        <f t="shared" si="4"/>
        <v>2100</v>
      </c>
      <c r="I28" s="30">
        <v>30</v>
      </c>
      <c r="J28" s="30">
        <v>0</v>
      </c>
      <c r="K28" s="30">
        <f t="shared" si="5"/>
        <v>30</v>
      </c>
      <c r="L28" s="30">
        <f t="shared" si="6"/>
        <v>1455</v>
      </c>
      <c r="M28" s="30">
        <f t="shared" si="6"/>
        <v>675</v>
      </c>
      <c r="N28" s="30">
        <f t="shared" si="7"/>
        <v>2130</v>
      </c>
    </row>
    <row r="29" spans="2:14" ht="15.75" thickBot="1" x14ac:dyDescent="0.3">
      <c r="B29" s="30">
        <v>15250</v>
      </c>
      <c r="C29" s="30">
        <v>15749.99</v>
      </c>
      <c r="D29" s="30">
        <f t="shared" si="3"/>
        <v>15500</v>
      </c>
      <c r="E29" s="31">
        <f t="shared" si="0"/>
        <v>15500</v>
      </c>
      <c r="F29" s="30">
        <f t="shared" si="1"/>
        <v>1472.5</v>
      </c>
      <c r="G29" s="30">
        <f t="shared" si="2"/>
        <v>697.5</v>
      </c>
      <c r="H29" s="30">
        <f t="shared" si="4"/>
        <v>2170</v>
      </c>
      <c r="I29" s="30">
        <v>30</v>
      </c>
      <c r="J29" s="30">
        <v>0</v>
      </c>
      <c r="K29" s="30">
        <f t="shared" si="5"/>
        <v>30</v>
      </c>
      <c r="L29" s="30">
        <f t="shared" si="6"/>
        <v>1502.5</v>
      </c>
      <c r="M29" s="30">
        <f t="shared" si="6"/>
        <v>697.5</v>
      </c>
      <c r="N29" s="30">
        <f t="shared" si="7"/>
        <v>2200</v>
      </c>
    </row>
    <row r="30" spans="2:14" ht="15.75" thickBot="1" x14ac:dyDescent="0.3">
      <c r="B30" s="30">
        <v>15750</v>
      </c>
      <c r="C30" s="30">
        <v>16249.99</v>
      </c>
      <c r="D30" s="30">
        <f t="shared" si="3"/>
        <v>16000</v>
      </c>
      <c r="E30" s="31">
        <f t="shared" si="0"/>
        <v>16000</v>
      </c>
      <c r="F30" s="30">
        <f t="shared" si="1"/>
        <v>1520</v>
      </c>
      <c r="G30" s="30">
        <f t="shared" si="2"/>
        <v>720</v>
      </c>
      <c r="H30" s="30">
        <f t="shared" si="4"/>
        <v>2240</v>
      </c>
      <c r="I30" s="30">
        <v>30</v>
      </c>
      <c r="J30" s="30">
        <v>0</v>
      </c>
      <c r="K30" s="30">
        <f t="shared" si="5"/>
        <v>30</v>
      </c>
      <c r="L30" s="30">
        <f t="shared" si="6"/>
        <v>1550</v>
      </c>
      <c r="M30" s="30">
        <f t="shared" si="6"/>
        <v>720</v>
      </c>
      <c r="N30" s="30">
        <f t="shared" si="7"/>
        <v>2270</v>
      </c>
    </row>
    <row r="31" spans="2:14" ht="15.75" thickBot="1" x14ac:dyDescent="0.3">
      <c r="B31" s="30">
        <v>16250</v>
      </c>
      <c r="C31" s="30">
        <v>16749.990000000002</v>
      </c>
      <c r="D31" s="30">
        <f t="shared" si="3"/>
        <v>16500</v>
      </c>
      <c r="E31" s="31">
        <f t="shared" si="0"/>
        <v>16500</v>
      </c>
      <c r="F31" s="30">
        <f t="shared" si="1"/>
        <v>1567.5</v>
      </c>
      <c r="G31" s="30">
        <f t="shared" si="2"/>
        <v>742.5</v>
      </c>
      <c r="H31" s="30">
        <f t="shared" si="4"/>
        <v>2310</v>
      </c>
      <c r="I31" s="30">
        <v>30</v>
      </c>
      <c r="J31" s="30">
        <v>0</v>
      </c>
      <c r="K31" s="30">
        <f t="shared" si="5"/>
        <v>30</v>
      </c>
      <c r="L31" s="30">
        <f t="shared" si="6"/>
        <v>1597.5</v>
      </c>
      <c r="M31" s="30">
        <f t="shared" si="6"/>
        <v>742.5</v>
      </c>
      <c r="N31" s="30">
        <f t="shared" si="7"/>
        <v>2340</v>
      </c>
    </row>
    <row r="32" spans="2:14" ht="15.75" thickBot="1" x14ac:dyDescent="0.3">
      <c r="B32" s="30">
        <v>16750</v>
      </c>
      <c r="C32" s="30">
        <v>17249.990000000002</v>
      </c>
      <c r="D32" s="30">
        <f t="shared" si="3"/>
        <v>17000</v>
      </c>
      <c r="E32" s="31">
        <f t="shared" si="0"/>
        <v>17000</v>
      </c>
      <c r="F32" s="30">
        <f t="shared" si="1"/>
        <v>1615</v>
      </c>
      <c r="G32" s="30">
        <f t="shared" si="2"/>
        <v>765</v>
      </c>
      <c r="H32" s="30">
        <f t="shared" si="4"/>
        <v>2380</v>
      </c>
      <c r="I32" s="30">
        <v>30</v>
      </c>
      <c r="J32" s="30">
        <v>0</v>
      </c>
      <c r="K32" s="30">
        <f t="shared" si="5"/>
        <v>30</v>
      </c>
      <c r="L32" s="30">
        <f t="shared" si="6"/>
        <v>1645</v>
      </c>
      <c r="M32" s="30">
        <f t="shared" si="6"/>
        <v>765</v>
      </c>
      <c r="N32" s="30">
        <f t="shared" si="7"/>
        <v>2410</v>
      </c>
    </row>
    <row r="33" spans="2:14" ht="15.75" thickBot="1" x14ac:dyDescent="0.3">
      <c r="B33" s="30">
        <v>17250</v>
      </c>
      <c r="C33" s="30">
        <v>17749.990000000002</v>
      </c>
      <c r="D33" s="30">
        <f t="shared" si="3"/>
        <v>17500</v>
      </c>
      <c r="E33" s="31">
        <f t="shared" si="0"/>
        <v>17500</v>
      </c>
      <c r="F33" s="30">
        <f t="shared" si="1"/>
        <v>1662.5</v>
      </c>
      <c r="G33" s="30">
        <f t="shared" si="2"/>
        <v>787.5</v>
      </c>
      <c r="H33" s="30">
        <f t="shared" si="4"/>
        <v>2450</v>
      </c>
      <c r="I33" s="30">
        <v>30</v>
      </c>
      <c r="J33" s="30">
        <v>0</v>
      </c>
      <c r="K33" s="30">
        <f t="shared" si="5"/>
        <v>30</v>
      </c>
      <c r="L33" s="30">
        <f t="shared" si="6"/>
        <v>1692.5</v>
      </c>
      <c r="M33" s="30">
        <f t="shared" si="6"/>
        <v>787.5</v>
      </c>
      <c r="N33" s="30">
        <f t="shared" si="7"/>
        <v>2480</v>
      </c>
    </row>
    <row r="34" spans="2:14" ht="15.75" thickBot="1" x14ac:dyDescent="0.3">
      <c r="B34" s="30">
        <v>17750</v>
      </c>
      <c r="C34" s="30">
        <v>18249.990000000002</v>
      </c>
      <c r="D34" s="30">
        <f t="shared" si="3"/>
        <v>18000</v>
      </c>
      <c r="E34" s="31">
        <f t="shared" si="0"/>
        <v>18000</v>
      </c>
      <c r="F34" s="30">
        <f t="shared" si="1"/>
        <v>1710</v>
      </c>
      <c r="G34" s="30">
        <f t="shared" si="2"/>
        <v>810</v>
      </c>
      <c r="H34" s="30">
        <f t="shared" si="4"/>
        <v>2520</v>
      </c>
      <c r="I34" s="30">
        <v>30</v>
      </c>
      <c r="J34" s="30">
        <v>0</v>
      </c>
      <c r="K34" s="30">
        <f t="shared" si="5"/>
        <v>30</v>
      </c>
      <c r="L34" s="30">
        <f t="shared" si="6"/>
        <v>1740</v>
      </c>
      <c r="M34" s="30">
        <f t="shared" si="6"/>
        <v>810</v>
      </c>
      <c r="N34" s="30">
        <f t="shared" si="7"/>
        <v>2550</v>
      </c>
    </row>
    <row r="35" spans="2:14" ht="15.75" thickBot="1" x14ac:dyDescent="0.3">
      <c r="B35" s="30">
        <v>18250</v>
      </c>
      <c r="C35" s="30">
        <v>18749.990000000002</v>
      </c>
      <c r="D35" s="30">
        <f t="shared" si="3"/>
        <v>18500</v>
      </c>
      <c r="E35" s="31">
        <f t="shared" si="0"/>
        <v>18500</v>
      </c>
      <c r="F35" s="30">
        <f t="shared" si="1"/>
        <v>1757.5</v>
      </c>
      <c r="G35" s="30">
        <f t="shared" si="2"/>
        <v>832.5</v>
      </c>
      <c r="H35" s="30">
        <f t="shared" si="4"/>
        <v>2590</v>
      </c>
      <c r="I35" s="30">
        <v>30</v>
      </c>
      <c r="J35" s="30">
        <v>0</v>
      </c>
      <c r="K35" s="30">
        <f t="shared" si="5"/>
        <v>30</v>
      </c>
      <c r="L35" s="30">
        <f t="shared" si="6"/>
        <v>1787.5</v>
      </c>
      <c r="M35" s="30">
        <f t="shared" si="6"/>
        <v>832.5</v>
      </c>
      <c r="N35" s="30">
        <f t="shared" si="7"/>
        <v>2620</v>
      </c>
    </row>
    <row r="36" spans="2:14" ht="15.75" thickBot="1" x14ac:dyDescent="0.3">
      <c r="B36" s="30">
        <v>18750</v>
      </c>
      <c r="C36" s="30">
        <v>19249.990000000002</v>
      </c>
      <c r="D36" s="30">
        <f t="shared" si="3"/>
        <v>19000</v>
      </c>
      <c r="E36" s="31">
        <f t="shared" si="0"/>
        <v>19000</v>
      </c>
      <c r="F36" s="30">
        <f t="shared" si="1"/>
        <v>1805</v>
      </c>
      <c r="G36" s="30">
        <f t="shared" si="2"/>
        <v>855</v>
      </c>
      <c r="H36" s="30">
        <f t="shared" si="4"/>
        <v>2660</v>
      </c>
      <c r="I36" s="30">
        <v>30</v>
      </c>
      <c r="J36" s="30">
        <v>0</v>
      </c>
      <c r="K36" s="30">
        <f t="shared" si="5"/>
        <v>30</v>
      </c>
      <c r="L36" s="30">
        <f t="shared" si="6"/>
        <v>1835</v>
      </c>
      <c r="M36" s="30">
        <f t="shared" si="6"/>
        <v>855</v>
      </c>
      <c r="N36" s="30">
        <f t="shared" si="7"/>
        <v>2690</v>
      </c>
    </row>
    <row r="37" spans="2:14" ht="15.75" thickBot="1" x14ac:dyDescent="0.3">
      <c r="B37" s="30">
        <v>19250</v>
      </c>
      <c r="C37" s="30">
        <v>19749.990000000002</v>
      </c>
      <c r="D37" s="30">
        <f t="shared" si="3"/>
        <v>19500</v>
      </c>
      <c r="E37" s="31">
        <f t="shared" si="0"/>
        <v>19500</v>
      </c>
      <c r="F37" s="30">
        <f t="shared" si="1"/>
        <v>1852.5</v>
      </c>
      <c r="G37" s="30">
        <f t="shared" si="2"/>
        <v>877.5</v>
      </c>
      <c r="H37" s="30">
        <f t="shared" si="4"/>
        <v>2730</v>
      </c>
      <c r="I37" s="30">
        <v>30</v>
      </c>
      <c r="J37" s="30">
        <v>0</v>
      </c>
      <c r="K37" s="30">
        <f t="shared" si="5"/>
        <v>30</v>
      </c>
      <c r="L37" s="30">
        <f t="shared" si="6"/>
        <v>1882.5</v>
      </c>
      <c r="M37" s="30">
        <f t="shared" si="6"/>
        <v>877.5</v>
      </c>
      <c r="N37" s="30">
        <f t="shared" si="7"/>
        <v>2760</v>
      </c>
    </row>
    <row r="38" spans="2:14" ht="15.75" thickBot="1" x14ac:dyDescent="0.3">
      <c r="B38" s="30">
        <v>19750</v>
      </c>
      <c r="C38" s="30">
        <v>20249.990000000002</v>
      </c>
      <c r="D38" s="30">
        <f t="shared" si="3"/>
        <v>20000</v>
      </c>
      <c r="E38" s="31">
        <f t="shared" ref="E38:E58" si="8">SUM(D38:D38)</f>
        <v>20000</v>
      </c>
      <c r="F38" s="30">
        <f t="shared" si="1"/>
        <v>1900</v>
      </c>
      <c r="G38" s="30">
        <f t="shared" si="2"/>
        <v>900</v>
      </c>
      <c r="H38" s="30">
        <f t="shared" si="4"/>
        <v>2800</v>
      </c>
      <c r="I38" s="30">
        <v>30</v>
      </c>
      <c r="J38" s="30">
        <v>0</v>
      </c>
      <c r="K38" s="30">
        <f t="shared" si="5"/>
        <v>30</v>
      </c>
      <c r="L38" s="30">
        <f t="shared" si="6"/>
        <v>1930</v>
      </c>
      <c r="M38" s="30">
        <f t="shared" si="6"/>
        <v>900</v>
      </c>
      <c r="N38" s="30">
        <f t="shared" si="7"/>
        <v>2830</v>
      </c>
    </row>
    <row r="39" spans="2:14" ht="15.75" thickBot="1" x14ac:dyDescent="0.3">
      <c r="B39" s="30">
        <v>20250</v>
      </c>
      <c r="C39" s="30">
        <v>20749.990000000002</v>
      </c>
      <c r="D39" s="30">
        <f>IF(D38=20000,20000,D38+500)</f>
        <v>20000</v>
      </c>
      <c r="E39" s="31">
        <f t="shared" si="8"/>
        <v>20000</v>
      </c>
      <c r="F39" s="30">
        <f>IFERROR(IF(F38=1900,1900,F38+47.5),380)</f>
        <v>1900</v>
      </c>
      <c r="G39" s="30">
        <f>IFERROR(IF(G38=900,900,G38+22.5),180)</f>
        <v>900</v>
      </c>
      <c r="H39" s="30">
        <f t="shared" si="4"/>
        <v>2800</v>
      </c>
      <c r="I39" s="30">
        <v>30</v>
      </c>
      <c r="J39" s="30">
        <v>0</v>
      </c>
      <c r="K39" s="30">
        <f t="shared" si="5"/>
        <v>30</v>
      </c>
      <c r="L39" s="30">
        <f t="shared" si="6"/>
        <v>1930</v>
      </c>
      <c r="M39" s="30">
        <f t="shared" si="6"/>
        <v>900</v>
      </c>
      <c r="N39" s="30">
        <f t="shared" si="7"/>
        <v>2830</v>
      </c>
    </row>
    <row r="40" spans="2:14" ht="15.75" thickBot="1" x14ac:dyDescent="0.3">
      <c r="B40" s="30">
        <v>20750</v>
      </c>
      <c r="C40" s="30">
        <v>21249.99</v>
      </c>
      <c r="D40" s="30">
        <f t="shared" ref="D40:D58" si="9">IF(D39=20000,20000,D39+500)</f>
        <v>20000</v>
      </c>
      <c r="E40" s="31">
        <f t="shared" si="8"/>
        <v>20000</v>
      </c>
      <c r="F40" s="30">
        <f t="shared" ref="F40:F58" si="10">IFERROR(IF(F39=1900,1900,F39+47.5),380)</f>
        <v>1900</v>
      </c>
      <c r="G40" s="30">
        <f t="shared" ref="G40:G58" si="11">IFERROR(IF(G39=900,900,G39+22.5),180)</f>
        <v>900</v>
      </c>
      <c r="H40" s="30">
        <f t="shared" si="4"/>
        <v>2800</v>
      </c>
      <c r="I40" s="30">
        <v>30</v>
      </c>
      <c r="J40" s="30">
        <v>0</v>
      </c>
      <c r="K40" s="30">
        <f t="shared" si="5"/>
        <v>30</v>
      </c>
      <c r="L40" s="30">
        <f t="shared" si="6"/>
        <v>1930</v>
      </c>
      <c r="M40" s="30">
        <f t="shared" si="6"/>
        <v>900</v>
      </c>
      <c r="N40" s="30">
        <f t="shared" si="7"/>
        <v>2830</v>
      </c>
    </row>
    <row r="41" spans="2:14" ht="15.75" thickBot="1" x14ac:dyDescent="0.3">
      <c r="B41" s="30">
        <v>21250</v>
      </c>
      <c r="C41" s="30">
        <v>21749.99</v>
      </c>
      <c r="D41" s="30">
        <f t="shared" si="9"/>
        <v>20000</v>
      </c>
      <c r="E41" s="31">
        <f t="shared" si="8"/>
        <v>20000</v>
      </c>
      <c r="F41" s="30">
        <f t="shared" si="10"/>
        <v>1900</v>
      </c>
      <c r="G41" s="30">
        <f t="shared" si="11"/>
        <v>900</v>
      </c>
      <c r="H41" s="30">
        <f t="shared" si="4"/>
        <v>2800</v>
      </c>
      <c r="I41" s="30">
        <v>30</v>
      </c>
      <c r="J41" s="30">
        <v>0</v>
      </c>
      <c r="K41" s="30">
        <f t="shared" si="5"/>
        <v>30</v>
      </c>
      <c r="L41" s="30">
        <f t="shared" si="6"/>
        <v>1930</v>
      </c>
      <c r="M41" s="30">
        <f t="shared" si="6"/>
        <v>900</v>
      </c>
      <c r="N41" s="30">
        <f t="shared" si="7"/>
        <v>2830</v>
      </c>
    </row>
    <row r="42" spans="2:14" ht="15.75" thickBot="1" x14ac:dyDescent="0.3">
      <c r="B42" s="30">
        <v>21750</v>
      </c>
      <c r="C42" s="30">
        <v>22249.99</v>
      </c>
      <c r="D42" s="30">
        <f t="shared" si="9"/>
        <v>20000</v>
      </c>
      <c r="E42" s="31">
        <f t="shared" si="8"/>
        <v>20000</v>
      </c>
      <c r="F42" s="30">
        <f t="shared" si="10"/>
        <v>1900</v>
      </c>
      <c r="G42" s="30">
        <f t="shared" si="11"/>
        <v>900</v>
      </c>
      <c r="H42" s="30">
        <f t="shared" si="4"/>
        <v>2800</v>
      </c>
      <c r="I42" s="30">
        <v>30</v>
      </c>
      <c r="J42" s="30">
        <v>0</v>
      </c>
      <c r="K42" s="30">
        <f t="shared" si="5"/>
        <v>30</v>
      </c>
      <c r="L42" s="30">
        <f t="shared" si="6"/>
        <v>1930</v>
      </c>
      <c r="M42" s="30">
        <f t="shared" si="6"/>
        <v>900</v>
      </c>
      <c r="N42" s="30">
        <f t="shared" si="7"/>
        <v>2830</v>
      </c>
    </row>
    <row r="43" spans="2:14" ht="15.75" thickBot="1" x14ac:dyDescent="0.3">
      <c r="B43" s="30">
        <v>22250</v>
      </c>
      <c r="C43" s="30">
        <v>22749.99</v>
      </c>
      <c r="D43" s="30">
        <f t="shared" si="9"/>
        <v>20000</v>
      </c>
      <c r="E43" s="31">
        <f t="shared" si="8"/>
        <v>20000</v>
      </c>
      <c r="F43" s="30">
        <f t="shared" si="10"/>
        <v>1900</v>
      </c>
      <c r="G43" s="30">
        <f t="shared" si="11"/>
        <v>900</v>
      </c>
      <c r="H43" s="30">
        <f t="shared" si="4"/>
        <v>2800</v>
      </c>
      <c r="I43" s="30">
        <v>30</v>
      </c>
      <c r="J43" s="30">
        <v>0</v>
      </c>
      <c r="K43" s="30">
        <f t="shared" si="5"/>
        <v>30</v>
      </c>
      <c r="L43" s="30">
        <f t="shared" si="6"/>
        <v>1930</v>
      </c>
      <c r="M43" s="30">
        <f t="shared" si="6"/>
        <v>900</v>
      </c>
      <c r="N43" s="30">
        <f t="shared" si="7"/>
        <v>2830</v>
      </c>
    </row>
    <row r="44" spans="2:14" ht="15.75" thickBot="1" x14ac:dyDescent="0.3">
      <c r="B44" s="30">
        <v>22750</v>
      </c>
      <c r="C44" s="30">
        <v>23249.99</v>
      </c>
      <c r="D44" s="30">
        <f t="shared" si="9"/>
        <v>20000</v>
      </c>
      <c r="E44" s="31">
        <f t="shared" si="8"/>
        <v>20000</v>
      </c>
      <c r="F44" s="30">
        <f t="shared" si="10"/>
        <v>1900</v>
      </c>
      <c r="G44" s="30">
        <f t="shared" si="11"/>
        <v>900</v>
      </c>
      <c r="H44" s="30">
        <f t="shared" si="4"/>
        <v>2800</v>
      </c>
      <c r="I44" s="30">
        <v>30</v>
      </c>
      <c r="J44" s="30">
        <v>0</v>
      </c>
      <c r="K44" s="30">
        <f t="shared" si="5"/>
        <v>30</v>
      </c>
      <c r="L44" s="30">
        <f t="shared" si="6"/>
        <v>1930</v>
      </c>
      <c r="M44" s="30">
        <f t="shared" si="6"/>
        <v>900</v>
      </c>
      <c r="N44" s="30">
        <f t="shared" si="7"/>
        <v>2830</v>
      </c>
    </row>
    <row r="45" spans="2:14" ht="15.75" thickBot="1" x14ac:dyDescent="0.3">
      <c r="B45" s="30">
        <v>23250</v>
      </c>
      <c r="C45" s="30">
        <v>23749.99</v>
      </c>
      <c r="D45" s="30">
        <f t="shared" si="9"/>
        <v>20000</v>
      </c>
      <c r="E45" s="31">
        <f t="shared" si="8"/>
        <v>20000</v>
      </c>
      <c r="F45" s="30">
        <f t="shared" si="10"/>
        <v>1900</v>
      </c>
      <c r="G45" s="30">
        <f t="shared" si="11"/>
        <v>900</v>
      </c>
      <c r="H45" s="30">
        <f t="shared" si="4"/>
        <v>2800</v>
      </c>
      <c r="I45" s="30">
        <v>30</v>
      </c>
      <c r="J45" s="30">
        <v>0</v>
      </c>
      <c r="K45" s="30">
        <f t="shared" si="5"/>
        <v>30</v>
      </c>
      <c r="L45" s="30">
        <f t="shared" si="6"/>
        <v>1930</v>
      </c>
      <c r="M45" s="30">
        <f t="shared" si="6"/>
        <v>900</v>
      </c>
      <c r="N45" s="30">
        <f t="shared" si="7"/>
        <v>2830</v>
      </c>
    </row>
    <row r="46" spans="2:14" ht="15.75" thickBot="1" x14ac:dyDescent="0.3">
      <c r="B46" s="30">
        <v>23750</v>
      </c>
      <c r="C46" s="30">
        <v>24249.99</v>
      </c>
      <c r="D46" s="30">
        <f t="shared" si="9"/>
        <v>20000</v>
      </c>
      <c r="E46" s="31">
        <f t="shared" si="8"/>
        <v>20000</v>
      </c>
      <c r="F46" s="30">
        <f t="shared" si="10"/>
        <v>1900</v>
      </c>
      <c r="G46" s="30">
        <f t="shared" si="11"/>
        <v>900</v>
      </c>
      <c r="H46" s="30">
        <f t="shared" si="4"/>
        <v>2800</v>
      </c>
      <c r="I46" s="30">
        <v>30</v>
      </c>
      <c r="J46" s="30">
        <v>0</v>
      </c>
      <c r="K46" s="30">
        <f t="shared" si="5"/>
        <v>30</v>
      </c>
      <c r="L46" s="30">
        <f t="shared" si="6"/>
        <v>1930</v>
      </c>
      <c r="M46" s="30">
        <f t="shared" si="6"/>
        <v>900</v>
      </c>
      <c r="N46" s="30">
        <f t="shared" si="7"/>
        <v>2830</v>
      </c>
    </row>
    <row r="47" spans="2:14" ht="15.75" thickBot="1" x14ac:dyDescent="0.3">
      <c r="B47" s="30">
        <v>24250</v>
      </c>
      <c r="C47" s="30">
        <v>24749.99</v>
      </c>
      <c r="D47" s="30">
        <f t="shared" si="9"/>
        <v>20000</v>
      </c>
      <c r="E47" s="31">
        <f t="shared" si="8"/>
        <v>20000</v>
      </c>
      <c r="F47" s="30">
        <f t="shared" si="10"/>
        <v>1900</v>
      </c>
      <c r="G47" s="30">
        <f t="shared" si="11"/>
        <v>900</v>
      </c>
      <c r="H47" s="30">
        <f t="shared" si="4"/>
        <v>2800</v>
      </c>
      <c r="I47" s="30">
        <v>30</v>
      </c>
      <c r="J47" s="30">
        <v>0</v>
      </c>
      <c r="K47" s="30">
        <f t="shared" si="5"/>
        <v>30</v>
      </c>
      <c r="L47" s="30">
        <f t="shared" si="6"/>
        <v>1930</v>
      </c>
      <c r="M47" s="30">
        <f t="shared" si="6"/>
        <v>900</v>
      </c>
      <c r="N47" s="30">
        <f t="shared" si="7"/>
        <v>2830</v>
      </c>
    </row>
    <row r="48" spans="2:14" ht="15.75" thickBot="1" x14ac:dyDescent="0.3">
      <c r="B48" s="30">
        <v>24750</v>
      </c>
      <c r="C48" s="30">
        <v>25249.99</v>
      </c>
      <c r="D48" s="30">
        <f t="shared" si="9"/>
        <v>20000</v>
      </c>
      <c r="E48" s="31">
        <f t="shared" si="8"/>
        <v>20000</v>
      </c>
      <c r="F48" s="30">
        <f t="shared" si="10"/>
        <v>1900</v>
      </c>
      <c r="G48" s="30">
        <f t="shared" si="11"/>
        <v>900</v>
      </c>
      <c r="H48" s="30">
        <f t="shared" si="4"/>
        <v>2800</v>
      </c>
      <c r="I48" s="30">
        <v>30</v>
      </c>
      <c r="J48" s="30">
        <v>0</v>
      </c>
      <c r="K48" s="30">
        <f t="shared" si="5"/>
        <v>30</v>
      </c>
      <c r="L48" s="30">
        <f t="shared" si="6"/>
        <v>1930</v>
      </c>
      <c r="M48" s="30">
        <f t="shared" si="6"/>
        <v>900</v>
      </c>
      <c r="N48" s="30">
        <f t="shared" si="7"/>
        <v>2830</v>
      </c>
    </row>
    <row r="49" spans="2:14" ht="15.75" thickBot="1" x14ac:dyDescent="0.3">
      <c r="B49" s="30">
        <v>25250</v>
      </c>
      <c r="C49" s="30">
        <f>B50-0.01</f>
        <v>25749.99</v>
      </c>
      <c r="D49" s="30">
        <f t="shared" si="9"/>
        <v>20000</v>
      </c>
      <c r="E49" s="31">
        <f t="shared" si="8"/>
        <v>20000</v>
      </c>
      <c r="F49" s="30">
        <f t="shared" si="10"/>
        <v>1900</v>
      </c>
      <c r="G49" s="30">
        <f t="shared" si="11"/>
        <v>900</v>
      </c>
      <c r="H49" s="30">
        <f t="shared" si="4"/>
        <v>2800</v>
      </c>
      <c r="I49" s="30">
        <v>30</v>
      </c>
      <c r="J49" s="30">
        <v>0</v>
      </c>
      <c r="K49" s="30">
        <f t="shared" si="5"/>
        <v>30</v>
      </c>
      <c r="L49" s="30">
        <f t="shared" si="6"/>
        <v>1930</v>
      </c>
      <c r="M49" s="30">
        <f t="shared" si="6"/>
        <v>900</v>
      </c>
      <c r="N49" s="30">
        <f t="shared" si="7"/>
        <v>2830</v>
      </c>
    </row>
    <row r="50" spans="2:14" ht="15.75" thickBot="1" x14ac:dyDescent="0.3">
      <c r="B50" s="30">
        <f>B49+500</f>
        <v>25750</v>
      </c>
      <c r="C50" s="30">
        <f t="shared" ref="C50:C57" si="12">B51-0.01</f>
        <v>26249.99</v>
      </c>
      <c r="D50" s="30">
        <f t="shared" si="9"/>
        <v>20000</v>
      </c>
      <c r="E50" s="31">
        <f t="shared" si="8"/>
        <v>20000</v>
      </c>
      <c r="F50" s="30">
        <f t="shared" si="10"/>
        <v>1900</v>
      </c>
      <c r="G50" s="30">
        <f t="shared" si="11"/>
        <v>900</v>
      </c>
      <c r="H50" s="30">
        <f t="shared" ref="H50:H58" si="13">SUM(F50:G50)</f>
        <v>2800</v>
      </c>
      <c r="I50" s="30">
        <v>30</v>
      </c>
      <c r="J50" s="30">
        <v>0</v>
      </c>
      <c r="K50" s="30">
        <f t="shared" ref="K50:K58" si="14">SUM(I50:J50)</f>
        <v>30</v>
      </c>
      <c r="L50" s="30">
        <f t="shared" si="6"/>
        <v>1930</v>
      </c>
      <c r="M50" s="30">
        <f t="shared" si="6"/>
        <v>900</v>
      </c>
      <c r="N50" s="30">
        <f t="shared" si="7"/>
        <v>2830</v>
      </c>
    </row>
    <row r="51" spans="2:14" ht="15.75" thickBot="1" x14ac:dyDescent="0.3">
      <c r="B51" s="30">
        <f t="shared" ref="B51:B58" si="15">B50+500</f>
        <v>26250</v>
      </c>
      <c r="C51" s="30">
        <f t="shared" si="12"/>
        <v>26749.99</v>
      </c>
      <c r="D51" s="30">
        <f t="shared" si="9"/>
        <v>20000</v>
      </c>
      <c r="E51" s="31">
        <f t="shared" si="8"/>
        <v>20000</v>
      </c>
      <c r="F51" s="30">
        <f t="shared" si="10"/>
        <v>1900</v>
      </c>
      <c r="G51" s="30">
        <f t="shared" si="11"/>
        <v>900</v>
      </c>
      <c r="H51" s="30">
        <f t="shared" si="13"/>
        <v>2800</v>
      </c>
      <c r="I51" s="30">
        <v>30</v>
      </c>
      <c r="J51" s="30">
        <v>0</v>
      </c>
      <c r="K51" s="30">
        <f t="shared" si="14"/>
        <v>30</v>
      </c>
      <c r="L51" s="30">
        <f t="shared" si="6"/>
        <v>1930</v>
      </c>
      <c r="M51" s="30">
        <f t="shared" si="6"/>
        <v>900</v>
      </c>
      <c r="N51" s="30">
        <f t="shared" si="7"/>
        <v>2830</v>
      </c>
    </row>
    <row r="52" spans="2:14" ht="15.75" thickBot="1" x14ac:dyDescent="0.3">
      <c r="B52" s="30">
        <f t="shared" si="15"/>
        <v>26750</v>
      </c>
      <c r="C52" s="30">
        <f t="shared" si="12"/>
        <v>27249.99</v>
      </c>
      <c r="D52" s="30">
        <f t="shared" si="9"/>
        <v>20000</v>
      </c>
      <c r="E52" s="31">
        <f t="shared" si="8"/>
        <v>20000</v>
      </c>
      <c r="F52" s="30">
        <f t="shared" si="10"/>
        <v>1900</v>
      </c>
      <c r="G52" s="30">
        <f t="shared" si="11"/>
        <v>900</v>
      </c>
      <c r="H52" s="30">
        <f t="shared" si="13"/>
        <v>2800</v>
      </c>
      <c r="I52" s="30">
        <v>30</v>
      </c>
      <c r="J52" s="30">
        <v>0</v>
      </c>
      <c r="K52" s="30">
        <f t="shared" si="14"/>
        <v>30</v>
      </c>
      <c r="L52" s="30">
        <f t="shared" si="6"/>
        <v>1930</v>
      </c>
      <c r="M52" s="30">
        <f t="shared" si="6"/>
        <v>900</v>
      </c>
      <c r="N52" s="30">
        <f t="shared" si="7"/>
        <v>2830</v>
      </c>
    </row>
    <row r="53" spans="2:14" ht="15.75" thickBot="1" x14ac:dyDescent="0.3">
      <c r="B53" s="30">
        <f t="shared" si="15"/>
        <v>27250</v>
      </c>
      <c r="C53" s="30">
        <f t="shared" si="12"/>
        <v>27749.99</v>
      </c>
      <c r="D53" s="30">
        <f t="shared" si="9"/>
        <v>20000</v>
      </c>
      <c r="E53" s="31">
        <f t="shared" si="8"/>
        <v>20000</v>
      </c>
      <c r="F53" s="30">
        <f t="shared" si="10"/>
        <v>1900</v>
      </c>
      <c r="G53" s="30">
        <f t="shared" si="11"/>
        <v>900</v>
      </c>
      <c r="H53" s="30">
        <f t="shared" si="13"/>
        <v>2800</v>
      </c>
      <c r="I53" s="30">
        <v>30</v>
      </c>
      <c r="J53" s="30">
        <v>0</v>
      </c>
      <c r="K53" s="30">
        <f t="shared" si="14"/>
        <v>30</v>
      </c>
      <c r="L53" s="30">
        <f t="shared" si="6"/>
        <v>1930</v>
      </c>
      <c r="M53" s="30">
        <f t="shared" si="6"/>
        <v>900</v>
      </c>
      <c r="N53" s="30">
        <f t="shared" si="7"/>
        <v>2830</v>
      </c>
    </row>
    <row r="54" spans="2:14" ht="15.75" thickBot="1" x14ac:dyDescent="0.3">
      <c r="B54" s="30">
        <f t="shared" si="15"/>
        <v>27750</v>
      </c>
      <c r="C54" s="30">
        <f t="shared" si="12"/>
        <v>28249.99</v>
      </c>
      <c r="D54" s="30">
        <f t="shared" si="9"/>
        <v>20000</v>
      </c>
      <c r="E54" s="31">
        <f t="shared" si="8"/>
        <v>20000</v>
      </c>
      <c r="F54" s="30">
        <f t="shared" si="10"/>
        <v>1900</v>
      </c>
      <c r="G54" s="30">
        <f t="shared" si="11"/>
        <v>900</v>
      </c>
      <c r="H54" s="30">
        <f t="shared" si="13"/>
        <v>2800</v>
      </c>
      <c r="I54" s="30">
        <v>30</v>
      </c>
      <c r="J54" s="30">
        <v>0</v>
      </c>
      <c r="K54" s="30">
        <f t="shared" si="14"/>
        <v>30</v>
      </c>
      <c r="L54" s="30">
        <f t="shared" si="6"/>
        <v>1930</v>
      </c>
      <c r="M54" s="30">
        <f t="shared" si="6"/>
        <v>900</v>
      </c>
      <c r="N54" s="30">
        <f t="shared" si="7"/>
        <v>2830</v>
      </c>
    </row>
    <row r="55" spans="2:14" ht="15.75" thickBot="1" x14ac:dyDescent="0.3">
      <c r="B55" s="30">
        <f t="shared" si="15"/>
        <v>28250</v>
      </c>
      <c r="C55" s="30">
        <f t="shared" si="12"/>
        <v>28749.99</v>
      </c>
      <c r="D55" s="30">
        <f t="shared" si="9"/>
        <v>20000</v>
      </c>
      <c r="E55" s="31">
        <f t="shared" si="8"/>
        <v>20000</v>
      </c>
      <c r="F55" s="30">
        <f t="shared" si="10"/>
        <v>1900</v>
      </c>
      <c r="G55" s="30">
        <f t="shared" si="11"/>
        <v>900</v>
      </c>
      <c r="H55" s="30">
        <f t="shared" si="13"/>
        <v>2800</v>
      </c>
      <c r="I55" s="30">
        <v>30</v>
      </c>
      <c r="J55" s="30">
        <v>0</v>
      </c>
      <c r="K55" s="30">
        <f t="shared" si="14"/>
        <v>30</v>
      </c>
      <c r="L55" s="30">
        <f t="shared" si="6"/>
        <v>1930</v>
      </c>
      <c r="M55" s="30">
        <f t="shared" si="6"/>
        <v>900</v>
      </c>
      <c r="N55" s="30">
        <f t="shared" si="7"/>
        <v>2830</v>
      </c>
    </row>
    <row r="56" spans="2:14" ht="15.75" thickBot="1" x14ac:dyDescent="0.3">
      <c r="B56" s="30">
        <f t="shared" si="15"/>
        <v>28750</v>
      </c>
      <c r="C56" s="30">
        <f t="shared" si="12"/>
        <v>29249.99</v>
      </c>
      <c r="D56" s="30">
        <f t="shared" si="9"/>
        <v>20000</v>
      </c>
      <c r="E56" s="31">
        <f t="shared" si="8"/>
        <v>20000</v>
      </c>
      <c r="F56" s="30">
        <f t="shared" si="10"/>
        <v>1900</v>
      </c>
      <c r="G56" s="30">
        <f t="shared" si="11"/>
        <v>900</v>
      </c>
      <c r="H56" s="30">
        <f t="shared" si="13"/>
        <v>2800</v>
      </c>
      <c r="I56" s="30">
        <v>30</v>
      </c>
      <c r="J56" s="30">
        <v>0</v>
      </c>
      <c r="K56" s="30">
        <f t="shared" si="14"/>
        <v>30</v>
      </c>
      <c r="L56" s="30">
        <f t="shared" si="6"/>
        <v>1930</v>
      </c>
      <c r="M56" s="30">
        <f t="shared" si="6"/>
        <v>900</v>
      </c>
      <c r="N56" s="30">
        <f t="shared" si="7"/>
        <v>2830</v>
      </c>
    </row>
    <row r="57" spans="2:14" ht="15.75" thickBot="1" x14ac:dyDescent="0.3">
      <c r="B57" s="30">
        <f t="shared" si="15"/>
        <v>29250</v>
      </c>
      <c r="C57" s="30">
        <f t="shared" si="12"/>
        <v>29749.99</v>
      </c>
      <c r="D57" s="30">
        <f t="shared" si="9"/>
        <v>20000</v>
      </c>
      <c r="E57" s="31">
        <f t="shared" si="8"/>
        <v>20000</v>
      </c>
      <c r="F57" s="30">
        <f t="shared" si="10"/>
        <v>1900</v>
      </c>
      <c r="G57" s="30">
        <f t="shared" si="11"/>
        <v>900</v>
      </c>
      <c r="H57" s="30">
        <f t="shared" si="13"/>
        <v>2800</v>
      </c>
      <c r="I57" s="30">
        <v>30</v>
      </c>
      <c r="J57" s="30">
        <v>0</v>
      </c>
      <c r="K57" s="30">
        <f t="shared" si="14"/>
        <v>30</v>
      </c>
      <c r="L57" s="30">
        <f t="shared" si="6"/>
        <v>1930</v>
      </c>
      <c r="M57" s="30">
        <f t="shared" si="6"/>
        <v>900</v>
      </c>
      <c r="N57" s="30">
        <f t="shared" si="7"/>
        <v>2830</v>
      </c>
    </row>
    <row r="58" spans="2:14" ht="15.75" thickBot="1" x14ac:dyDescent="0.3">
      <c r="B58" s="30">
        <f t="shared" si="15"/>
        <v>29750</v>
      </c>
      <c r="C58" s="30">
        <v>100000000</v>
      </c>
      <c r="D58" s="30">
        <f t="shared" si="9"/>
        <v>20000</v>
      </c>
      <c r="E58" s="31">
        <f t="shared" si="8"/>
        <v>20000</v>
      </c>
      <c r="F58" s="30">
        <f t="shared" si="10"/>
        <v>1900</v>
      </c>
      <c r="G58" s="30">
        <f t="shared" si="11"/>
        <v>900</v>
      </c>
      <c r="H58" s="30">
        <f t="shared" si="13"/>
        <v>2800</v>
      </c>
      <c r="I58" s="30">
        <v>30</v>
      </c>
      <c r="J58" s="30">
        <v>0</v>
      </c>
      <c r="K58" s="30">
        <f t="shared" si="14"/>
        <v>30</v>
      </c>
      <c r="L58" s="30">
        <f t="shared" si="6"/>
        <v>1930</v>
      </c>
      <c r="M58" s="30">
        <f t="shared" si="6"/>
        <v>900</v>
      </c>
      <c r="N58" s="30">
        <f t="shared" si="7"/>
        <v>2830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Payroll</vt:lpstr>
      <vt:lpstr>Employee Benefits</vt:lpstr>
      <vt:lpstr>Semi-Monthly Tax Table</vt:lpstr>
      <vt:lpstr>Payslip</vt:lpstr>
      <vt:lpstr>Pag-IBIG Table</vt:lpstr>
      <vt:lpstr>Phil-Health Table</vt:lpstr>
      <vt:lpstr>SSS Table</vt:lpstr>
      <vt:lpstr>PAG_Table</vt:lpstr>
      <vt:lpstr>Payroll_Table</vt:lpstr>
      <vt:lpstr>PH_Table</vt:lpstr>
      <vt:lpstr>SMT_Table</vt:lpstr>
      <vt:lpstr>SSS_Table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2023-07-21T06:20:44Z</dcterms:created>
  <dcterms:modified xsi:type="dcterms:W3CDTF">2023-07-24T20:58:19Z</dcterms:modified>
</cp:coreProperties>
</file>