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hias Amuta\Documents\My Documents samsng\3 CONSULTANCY\1 NgCareers\FloorMills\FloorMillFinMod_\"/>
    </mc:Choice>
  </mc:AlternateContent>
  <bookViews>
    <workbookView xWindow="0" yWindow="0" windowWidth="20490" windowHeight="7755" tabRatio="895" firstSheet="1" activeTab="3"/>
  </bookViews>
  <sheets>
    <sheet name="Cover" sheetId="8" r:id="rId1"/>
    <sheet name="Income Statement" sheetId="1" r:id="rId2"/>
    <sheet name="CashFlow" sheetId="2" r:id="rId3"/>
    <sheet name="Balance Sheet" sheetId="3" r:id="rId4"/>
    <sheet name="Tax Schedule" sheetId="9" r:id="rId5"/>
    <sheet name="Depreciation Schedule" sheetId="4" r:id="rId6"/>
    <sheet name="Working Capital Schedule" sheetId="5" r:id="rId7"/>
    <sheet name="Debt Schedule" sheetId="7" r:id="rId8"/>
    <sheet name="Dividend Schedule" sheetId="6" r:id="rId9"/>
  </sheets>
  <calcPr calcId="15251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3" l="1"/>
  <c r="H52" i="3" s="1"/>
  <c r="I52" i="3" s="1"/>
  <c r="J52" i="3" s="1"/>
  <c r="F52" i="3"/>
  <c r="G51" i="3"/>
  <c r="H51" i="3"/>
  <c r="I51" i="3"/>
  <c r="J51" i="3"/>
  <c r="F51" i="3"/>
  <c r="F13" i="3" l="1"/>
  <c r="G13" i="3" s="1"/>
  <c r="H13" i="3" s="1"/>
  <c r="I13" i="3" s="1"/>
  <c r="J13" i="3" s="1"/>
  <c r="G53" i="1"/>
  <c r="H53" i="1"/>
  <c r="I53" i="1"/>
  <c r="J53" i="1"/>
  <c r="F53" i="1"/>
  <c r="F8" i="6"/>
  <c r="F21" i="7" l="1"/>
  <c r="F46" i="9"/>
  <c r="C74" i="1" l="1"/>
  <c r="D74" i="1"/>
  <c r="Y26" i="9"/>
  <c r="Z57" i="9"/>
  <c r="Z26" i="9" s="1"/>
  <c r="U57" i="9"/>
  <c r="T26" i="9"/>
  <c r="U26" i="9" s="1"/>
  <c r="S26" i="9"/>
  <c r="N26" i="9"/>
  <c r="O26" i="9" s="1"/>
  <c r="P57" i="9"/>
  <c r="K57" i="9"/>
  <c r="F51" i="9"/>
  <c r="P26" i="9" l="1"/>
  <c r="F65" i="9"/>
  <c r="E41" i="3" l="1"/>
  <c r="E12" i="3"/>
  <c r="F57" i="9"/>
  <c r="I22" i="9"/>
  <c r="J22" i="9" s="1"/>
  <c r="K22" i="9" s="1"/>
  <c r="J26" i="9"/>
  <c r="K26" i="9" s="1"/>
  <c r="R32" i="9"/>
  <c r="T32" i="9" s="1"/>
  <c r="U32" i="9" s="1"/>
  <c r="W9" i="9"/>
  <c r="X9" i="9" s="1"/>
  <c r="Y9" i="9" s="1"/>
  <c r="Z9" i="9" s="1"/>
  <c r="W10" i="9"/>
  <c r="X10" i="9" s="1"/>
  <c r="Y10" i="9" s="1"/>
  <c r="Z10" i="9" s="1"/>
  <c r="W14" i="9"/>
  <c r="X14" i="9" s="1"/>
  <c r="Y14" i="9" s="1"/>
  <c r="Z14" i="9" s="1"/>
  <c r="W15" i="9"/>
  <c r="X15" i="9" s="1"/>
  <c r="Y15" i="9" s="1"/>
  <c r="Z15" i="9" s="1"/>
  <c r="W16" i="9"/>
  <c r="X16" i="9" s="1"/>
  <c r="Y16" i="9" s="1"/>
  <c r="Z16" i="9" s="1"/>
  <c r="W18" i="9"/>
  <c r="X18" i="9" s="1"/>
  <c r="Y18" i="9" s="1"/>
  <c r="Z18" i="9" s="1"/>
  <c r="W19" i="9"/>
  <c r="X19" i="9" s="1"/>
  <c r="Y19" i="9" s="1"/>
  <c r="Z19" i="9" s="1"/>
  <c r="W20" i="9"/>
  <c r="X20" i="9" s="1"/>
  <c r="Y20" i="9" s="1"/>
  <c r="Z20" i="9" s="1"/>
  <c r="W22" i="9"/>
  <c r="X22" i="9" s="1"/>
  <c r="Y22" i="9" s="1"/>
  <c r="Z22" i="9" s="1"/>
  <c r="W23" i="9"/>
  <c r="X23" i="9" s="1"/>
  <c r="Y23" i="9" s="1"/>
  <c r="Z23" i="9" s="1"/>
  <c r="W24" i="9"/>
  <c r="X24" i="9" s="1"/>
  <c r="Y24" i="9" s="1"/>
  <c r="Z24" i="9" s="1"/>
  <c r="W27" i="9"/>
  <c r="X27" i="9" s="1"/>
  <c r="Y27" i="9" s="1"/>
  <c r="Z27" i="9" s="1"/>
  <c r="W29" i="9"/>
  <c r="Y29" i="9" s="1"/>
  <c r="Z29" i="9" s="1"/>
  <c r="W30" i="9"/>
  <c r="Y30" i="9" s="1"/>
  <c r="Z30" i="9" s="1"/>
  <c r="W32" i="9"/>
  <c r="Y32" i="9" s="1"/>
  <c r="Z32" i="9" s="1"/>
  <c r="W33" i="9"/>
  <c r="X33" i="9" s="1"/>
  <c r="Y33" i="9" s="1"/>
  <c r="Z33" i="9" s="1"/>
  <c r="W34" i="9"/>
  <c r="X34" i="9" s="1"/>
  <c r="Y34" i="9" s="1"/>
  <c r="Z34" i="9" s="1"/>
  <c r="W35" i="9"/>
  <c r="X35" i="9" s="1"/>
  <c r="Y35" i="9" s="1"/>
  <c r="Z35" i="9" s="1"/>
  <c r="W38" i="9"/>
  <c r="X38" i="9" s="1"/>
  <c r="Y38" i="9" s="1"/>
  <c r="Z38" i="9" s="1"/>
  <c r="W40" i="9"/>
  <c r="X40" i="9" s="1"/>
  <c r="Y40" i="9" s="1"/>
  <c r="Z40" i="9" s="1"/>
  <c r="M9" i="9"/>
  <c r="N9" i="9" s="1"/>
  <c r="O9" i="9" s="1"/>
  <c r="P9" i="9" s="1"/>
  <c r="R9" i="9"/>
  <c r="S9" i="9" s="1"/>
  <c r="T9" i="9" s="1"/>
  <c r="U9" i="9" s="1"/>
  <c r="M10" i="9"/>
  <c r="N10" i="9" s="1"/>
  <c r="O10" i="9" s="1"/>
  <c r="P10" i="9" s="1"/>
  <c r="R10" i="9"/>
  <c r="S10" i="9" s="1"/>
  <c r="T10" i="9" s="1"/>
  <c r="U10" i="9" s="1"/>
  <c r="M14" i="9"/>
  <c r="N14" i="9" s="1"/>
  <c r="O14" i="9" s="1"/>
  <c r="P14" i="9" s="1"/>
  <c r="R14" i="9"/>
  <c r="S14" i="9" s="1"/>
  <c r="T14" i="9" s="1"/>
  <c r="U14" i="9" s="1"/>
  <c r="M15" i="9"/>
  <c r="N15" i="9" s="1"/>
  <c r="O15" i="9" s="1"/>
  <c r="P15" i="9" s="1"/>
  <c r="R15" i="9"/>
  <c r="S15" i="9" s="1"/>
  <c r="T15" i="9" s="1"/>
  <c r="U15" i="9" s="1"/>
  <c r="M16" i="9"/>
  <c r="N16" i="9" s="1"/>
  <c r="O16" i="9" s="1"/>
  <c r="P16" i="9" s="1"/>
  <c r="R16" i="9"/>
  <c r="S16" i="9" s="1"/>
  <c r="T16" i="9" s="1"/>
  <c r="U16" i="9" s="1"/>
  <c r="M18" i="9"/>
  <c r="N18" i="9" s="1"/>
  <c r="O18" i="9" s="1"/>
  <c r="P18" i="9" s="1"/>
  <c r="R18" i="9"/>
  <c r="S18" i="9" s="1"/>
  <c r="T18" i="9" s="1"/>
  <c r="U18" i="9" s="1"/>
  <c r="M19" i="9"/>
  <c r="N19" i="9" s="1"/>
  <c r="O19" i="9" s="1"/>
  <c r="P19" i="9" s="1"/>
  <c r="R19" i="9"/>
  <c r="S19" i="9" s="1"/>
  <c r="T19" i="9" s="1"/>
  <c r="U19" i="9" s="1"/>
  <c r="M20" i="9"/>
  <c r="N20" i="9" s="1"/>
  <c r="O20" i="9" s="1"/>
  <c r="P20" i="9" s="1"/>
  <c r="R20" i="9"/>
  <c r="S20" i="9" s="1"/>
  <c r="T20" i="9" s="1"/>
  <c r="U20" i="9" s="1"/>
  <c r="M22" i="9"/>
  <c r="N22" i="9" s="1"/>
  <c r="O22" i="9" s="1"/>
  <c r="P22" i="9" s="1"/>
  <c r="R22" i="9"/>
  <c r="S22" i="9" s="1"/>
  <c r="T22" i="9" s="1"/>
  <c r="U22" i="9" s="1"/>
  <c r="M23" i="9"/>
  <c r="N23" i="9" s="1"/>
  <c r="O23" i="9" s="1"/>
  <c r="P23" i="9" s="1"/>
  <c r="R23" i="9"/>
  <c r="S23" i="9" s="1"/>
  <c r="T23" i="9" s="1"/>
  <c r="U23" i="9" s="1"/>
  <c r="M24" i="9"/>
  <c r="N24" i="9" s="1"/>
  <c r="O24" i="9" s="1"/>
  <c r="P24" i="9" s="1"/>
  <c r="R24" i="9"/>
  <c r="S24" i="9" s="1"/>
  <c r="T24" i="9" s="1"/>
  <c r="U24" i="9" s="1"/>
  <c r="M27" i="9"/>
  <c r="N27" i="9" s="1"/>
  <c r="O27" i="9" s="1"/>
  <c r="P27" i="9" s="1"/>
  <c r="R27" i="9"/>
  <c r="S27" i="9" s="1"/>
  <c r="T27" i="9" s="1"/>
  <c r="U27" i="9" s="1"/>
  <c r="M29" i="9"/>
  <c r="O29" i="9" s="1"/>
  <c r="P29" i="9" s="1"/>
  <c r="R29" i="9"/>
  <c r="T29" i="9" s="1"/>
  <c r="U29" i="9" s="1"/>
  <c r="M30" i="9"/>
  <c r="O30" i="9" s="1"/>
  <c r="P30" i="9" s="1"/>
  <c r="R30" i="9"/>
  <c r="T30" i="9" s="1"/>
  <c r="U30" i="9" s="1"/>
  <c r="M32" i="9"/>
  <c r="O32" i="9" s="1"/>
  <c r="P32" i="9" s="1"/>
  <c r="M33" i="9"/>
  <c r="N33" i="9" s="1"/>
  <c r="O33" i="9" s="1"/>
  <c r="P33" i="9" s="1"/>
  <c r="R33" i="9"/>
  <c r="S33" i="9" s="1"/>
  <c r="T33" i="9" s="1"/>
  <c r="U33" i="9" s="1"/>
  <c r="M34" i="9"/>
  <c r="N34" i="9" s="1"/>
  <c r="O34" i="9" s="1"/>
  <c r="P34" i="9" s="1"/>
  <c r="R34" i="9"/>
  <c r="S34" i="9" s="1"/>
  <c r="T34" i="9" s="1"/>
  <c r="U34" i="9" s="1"/>
  <c r="M35" i="9"/>
  <c r="N35" i="9" s="1"/>
  <c r="O35" i="9" s="1"/>
  <c r="P35" i="9" s="1"/>
  <c r="R35" i="9"/>
  <c r="S35" i="9" s="1"/>
  <c r="T35" i="9" s="1"/>
  <c r="U35" i="9" s="1"/>
  <c r="M38" i="9"/>
  <c r="N38" i="9" s="1"/>
  <c r="O38" i="9" s="1"/>
  <c r="P38" i="9" s="1"/>
  <c r="R38" i="9"/>
  <c r="S38" i="9" s="1"/>
  <c r="T38" i="9" s="1"/>
  <c r="U38" i="9" s="1"/>
  <c r="M40" i="9"/>
  <c r="N40" i="9" s="1"/>
  <c r="O40" i="9" s="1"/>
  <c r="P40" i="9" s="1"/>
  <c r="R40" i="9"/>
  <c r="S40" i="9" s="1"/>
  <c r="T40" i="9" s="1"/>
  <c r="U40" i="9" s="1"/>
  <c r="H35" i="9"/>
  <c r="I35" i="9" s="1"/>
  <c r="J35" i="9" s="1"/>
  <c r="K35" i="9" s="1"/>
  <c r="H38" i="9"/>
  <c r="I38" i="9" s="1"/>
  <c r="J38" i="9" s="1"/>
  <c r="K38" i="9" s="1"/>
  <c r="H40" i="9"/>
  <c r="I40" i="9" s="1"/>
  <c r="J40" i="9" s="1"/>
  <c r="K40" i="9" s="1"/>
  <c r="H34" i="9"/>
  <c r="J34" i="9" s="1"/>
  <c r="K34" i="9" s="1"/>
  <c r="H33" i="9"/>
  <c r="J33" i="9" s="1"/>
  <c r="K33" i="9" s="1"/>
  <c r="H32" i="9"/>
  <c r="J32" i="9" s="1"/>
  <c r="K32" i="9" s="1"/>
  <c r="H30" i="9"/>
  <c r="J30" i="9" s="1"/>
  <c r="K30" i="9" s="1"/>
  <c r="H29" i="9"/>
  <c r="J29" i="9" s="1"/>
  <c r="K29" i="9" s="1"/>
  <c r="H27" i="9"/>
  <c r="I27" i="9" s="1"/>
  <c r="J27" i="9" s="1"/>
  <c r="K27" i="9" s="1"/>
  <c r="H24" i="9"/>
  <c r="I24" i="9" s="1"/>
  <c r="J24" i="9" s="1"/>
  <c r="K24" i="9" s="1"/>
  <c r="H23" i="9"/>
  <c r="I23" i="9" s="1"/>
  <c r="J23" i="9" s="1"/>
  <c r="K23" i="9" s="1"/>
  <c r="H20" i="9"/>
  <c r="I20" i="9" s="1"/>
  <c r="J20" i="9" s="1"/>
  <c r="K20" i="9" s="1"/>
  <c r="H19" i="9"/>
  <c r="I19" i="9" s="1"/>
  <c r="J19" i="9" s="1"/>
  <c r="K19" i="9" s="1"/>
  <c r="H18" i="9"/>
  <c r="I18" i="9" s="1"/>
  <c r="J18" i="9" s="1"/>
  <c r="K18" i="9" s="1"/>
  <c r="H16" i="9"/>
  <c r="I16" i="9" s="1"/>
  <c r="J16" i="9" s="1"/>
  <c r="K16" i="9" s="1"/>
  <c r="H14" i="9"/>
  <c r="I14" i="9" s="1"/>
  <c r="J14" i="9" s="1"/>
  <c r="K14" i="9" s="1"/>
  <c r="H15" i="9"/>
  <c r="I15" i="9" s="1"/>
  <c r="J15" i="9" s="1"/>
  <c r="K15" i="9" s="1"/>
  <c r="H10" i="9"/>
  <c r="I10" i="9" s="1"/>
  <c r="J10" i="9" s="1"/>
  <c r="K10" i="9" s="1"/>
  <c r="H9" i="9"/>
  <c r="I9" i="9" s="1"/>
  <c r="J9" i="9" s="1"/>
  <c r="K9" i="9" s="1"/>
  <c r="H22" i="9"/>
  <c r="W8" i="9"/>
  <c r="X8" i="9" s="1"/>
  <c r="Y8" i="9" s="1"/>
  <c r="Z8" i="9" s="1"/>
  <c r="R8" i="9"/>
  <c r="S8" i="9" s="1"/>
  <c r="T8" i="9" s="1"/>
  <c r="U8" i="9" s="1"/>
  <c r="M8" i="9"/>
  <c r="N8" i="9" s="1"/>
  <c r="O8" i="9" s="1"/>
  <c r="P8" i="9" s="1"/>
  <c r="H8" i="9"/>
  <c r="I8" i="9" s="1"/>
  <c r="J8" i="9" s="1"/>
  <c r="K8" i="9" s="1"/>
  <c r="H7" i="9"/>
  <c r="I7" i="9" s="1"/>
  <c r="J7" i="9" s="1"/>
  <c r="K7" i="9" s="1"/>
  <c r="M7" i="9"/>
  <c r="N7" i="9" s="1"/>
  <c r="O7" i="9" s="1"/>
  <c r="P7" i="9" s="1"/>
  <c r="R7" i="9"/>
  <c r="S7" i="9" s="1"/>
  <c r="T7" i="9" s="1"/>
  <c r="U7" i="9" s="1"/>
  <c r="W7" i="9"/>
  <c r="X7" i="9" s="1"/>
  <c r="Y7" i="9" s="1"/>
  <c r="Z7" i="9" s="1"/>
  <c r="F41" i="9"/>
  <c r="E26" i="9"/>
  <c r="F26" i="9" s="1"/>
  <c r="C22" i="9"/>
  <c r="D22" i="9" s="1"/>
  <c r="E22" i="9" s="1"/>
  <c r="F22" i="9" s="1"/>
  <c r="C23" i="9"/>
  <c r="D23" i="9" s="1"/>
  <c r="E23" i="9" s="1"/>
  <c r="F23" i="9" s="1"/>
  <c r="C24" i="9"/>
  <c r="D24" i="9" s="1"/>
  <c r="E24" i="9" s="1"/>
  <c r="F24" i="9" s="1"/>
  <c r="C27" i="9"/>
  <c r="D27" i="9" s="1"/>
  <c r="E27" i="9" s="1"/>
  <c r="F27" i="9" s="1"/>
  <c r="C30" i="9"/>
  <c r="E30" i="9" s="1"/>
  <c r="F30" i="9" s="1"/>
  <c r="C32" i="9"/>
  <c r="E32" i="9" s="1"/>
  <c r="F32" i="9" s="1"/>
  <c r="C33" i="9"/>
  <c r="E33" i="9" s="1"/>
  <c r="F33" i="9" s="1"/>
  <c r="C34" i="9"/>
  <c r="E34" i="9" s="1"/>
  <c r="F34" i="9" s="1"/>
  <c r="C35" i="9"/>
  <c r="D35" i="9" s="1"/>
  <c r="C38" i="9"/>
  <c r="C40" i="9"/>
  <c r="D40" i="9" s="1"/>
  <c r="C29" i="9"/>
  <c r="E29" i="9" s="1"/>
  <c r="F29" i="9" s="1"/>
  <c r="C16" i="9"/>
  <c r="D16" i="9" s="1"/>
  <c r="E16" i="9" s="1"/>
  <c r="F16" i="9" s="1"/>
  <c r="C18" i="9"/>
  <c r="D18" i="9" s="1"/>
  <c r="E18" i="9" s="1"/>
  <c r="F18" i="9" s="1"/>
  <c r="C19" i="9"/>
  <c r="D19" i="9" s="1"/>
  <c r="E19" i="9" s="1"/>
  <c r="F19" i="9" s="1"/>
  <c r="C20" i="9"/>
  <c r="D20" i="9" s="1"/>
  <c r="C7" i="9"/>
  <c r="D7" i="9" s="1"/>
  <c r="E7" i="9" s="1"/>
  <c r="F7" i="9" s="1"/>
  <c r="C8" i="9"/>
  <c r="C9" i="9"/>
  <c r="D9" i="9" s="1"/>
  <c r="E9" i="9" s="1"/>
  <c r="F9" i="9" s="1"/>
  <c r="C10" i="9"/>
  <c r="D10" i="9" s="1"/>
  <c r="E10" i="9" s="1"/>
  <c r="F10" i="9" s="1"/>
  <c r="C13" i="9"/>
  <c r="D13" i="9" s="1"/>
  <c r="E13" i="9" s="1"/>
  <c r="F13" i="9" s="1"/>
  <c r="C14" i="9"/>
  <c r="D14" i="9" s="1"/>
  <c r="E14" i="9" s="1"/>
  <c r="F14" i="9" s="1"/>
  <c r="C15" i="9"/>
  <c r="D15" i="9" s="1"/>
  <c r="E15" i="9" l="1"/>
  <c r="F15" i="9" s="1"/>
  <c r="E20" i="9"/>
  <c r="F20" i="9" s="1"/>
  <c r="D38" i="9"/>
  <c r="E38" i="9" s="1"/>
  <c r="F38" i="9" s="1"/>
  <c r="D8" i="9"/>
  <c r="E8" i="9" s="1"/>
  <c r="F8" i="9" s="1"/>
  <c r="E35" i="9"/>
  <c r="F35" i="9" s="1"/>
  <c r="E40" i="9"/>
  <c r="F40" i="9" s="1"/>
  <c r="C1" i="7"/>
  <c r="D1" i="7"/>
  <c r="E1" i="7"/>
  <c r="F1" i="7"/>
  <c r="G1" i="7"/>
  <c r="H1" i="7"/>
  <c r="I1" i="7"/>
  <c r="J1" i="7"/>
  <c r="C67" i="2"/>
  <c r="D67" i="2"/>
  <c r="E67" i="2"/>
  <c r="M47" i="4" l="1"/>
  <c r="M48" i="4"/>
  <c r="M46" i="4"/>
  <c r="M45" i="4"/>
  <c r="M44" i="4"/>
  <c r="M43" i="4"/>
  <c r="M42" i="4"/>
  <c r="T35" i="4"/>
  <c r="N48" i="4" s="1"/>
  <c r="S35" i="4"/>
  <c r="P47" i="4" s="1"/>
  <c r="R35" i="4"/>
  <c r="O46" i="4" s="1"/>
  <c r="Q35" i="4"/>
  <c r="O45" i="4" s="1"/>
  <c r="P35" i="4"/>
  <c r="Q44" i="4" s="1"/>
  <c r="O35" i="4"/>
  <c r="P43" i="4" s="1"/>
  <c r="N35" i="4"/>
  <c r="P42" i="4" s="1"/>
  <c r="U34" i="4"/>
  <c r="O43" i="4" l="1"/>
  <c r="P45" i="4"/>
  <c r="P48" i="4"/>
  <c r="P44" i="4"/>
  <c r="O48" i="4"/>
  <c r="O44" i="4"/>
  <c r="N45" i="4"/>
  <c r="N42" i="4"/>
  <c r="O42" i="4"/>
  <c r="N46" i="4"/>
  <c r="R42" i="4"/>
  <c r="R49" i="4" s="1"/>
  <c r="J42" i="4" s="1"/>
  <c r="P46" i="4"/>
  <c r="P49" i="4" s="1"/>
  <c r="H42" i="4" s="1"/>
  <c r="N47" i="4"/>
  <c r="Q42" i="4"/>
  <c r="Q49" i="4" s="1"/>
  <c r="I42" i="4" s="1"/>
  <c r="N43" i="4"/>
  <c r="N44" i="4"/>
  <c r="O47" i="4"/>
  <c r="E12" i="5"/>
  <c r="C12" i="5"/>
  <c r="D12" i="5"/>
  <c r="C13" i="5"/>
  <c r="D13" i="5"/>
  <c r="E13" i="5"/>
  <c r="C36" i="4"/>
  <c r="O49" i="4" l="1"/>
  <c r="G42" i="4" s="1"/>
  <c r="N49" i="4"/>
  <c r="F42" i="4" s="1"/>
  <c r="F11" i="6"/>
  <c r="C39" i="9" s="1"/>
  <c r="D39" i="9" s="1"/>
  <c r="E39" i="9" s="1"/>
  <c r="F39" i="9" s="1"/>
  <c r="E18" i="6"/>
  <c r="E20" i="6"/>
  <c r="E15" i="6"/>
  <c r="C14" i="5" l="1"/>
  <c r="C38" i="2"/>
  <c r="D38" i="2"/>
  <c r="E38" i="2"/>
  <c r="E15" i="7"/>
  <c r="D1" i="1" l="1"/>
  <c r="D1" i="2"/>
  <c r="E24" i="2"/>
  <c r="A1" i="6"/>
  <c r="A1" i="7"/>
  <c r="A1" i="3"/>
  <c r="A1" i="5"/>
  <c r="A1" i="4"/>
  <c r="A1" i="2"/>
  <c r="A1" i="1"/>
  <c r="E45" i="3" l="1"/>
  <c r="E52" i="3"/>
  <c r="E51" i="3"/>
  <c r="E50" i="3"/>
  <c r="F50" i="3" s="1"/>
  <c r="E49" i="3"/>
  <c r="E48" i="3"/>
  <c r="F12" i="7" s="1"/>
  <c r="E47" i="3"/>
  <c r="E42" i="3"/>
  <c r="E40" i="3"/>
  <c r="E39" i="3"/>
  <c r="E38" i="3"/>
  <c r="E23" i="7" s="1"/>
  <c r="F20" i="7" s="1"/>
  <c r="E34" i="3"/>
  <c r="F34" i="3" s="1"/>
  <c r="E32" i="3"/>
  <c r="E31" i="3"/>
  <c r="E30" i="3"/>
  <c r="E29" i="3"/>
  <c r="E23" i="3"/>
  <c r="E22" i="3"/>
  <c r="E21" i="3"/>
  <c r="E20" i="3"/>
  <c r="E19" i="3"/>
  <c r="E18" i="3"/>
  <c r="E15" i="3"/>
  <c r="E14" i="3"/>
  <c r="F14" i="3" s="1"/>
  <c r="E13" i="3"/>
  <c r="E11" i="3"/>
  <c r="E9" i="3"/>
  <c r="F9" i="3" s="1"/>
  <c r="E8" i="3"/>
  <c r="E7" i="3"/>
  <c r="E6" i="3"/>
  <c r="G66" i="4"/>
  <c r="H66" i="4"/>
  <c r="I66" i="4"/>
  <c r="J66" i="4"/>
  <c r="F66" i="4"/>
  <c r="F63" i="2"/>
  <c r="G8" i="6"/>
  <c r="H8" i="6" s="1"/>
  <c r="G7" i="6"/>
  <c r="H7" i="6" s="1"/>
  <c r="F7" i="6"/>
  <c r="D11" i="6"/>
  <c r="D6" i="6"/>
  <c r="E6" i="6"/>
  <c r="E11" i="6" s="1"/>
  <c r="F6" i="6" s="1"/>
  <c r="F8" i="3"/>
  <c r="G8" i="3" s="1"/>
  <c r="H8" i="3" s="1"/>
  <c r="I8" i="3" s="1"/>
  <c r="J8" i="3" s="1"/>
  <c r="F7" i="3"/>
  <c r="G7" i="3" s="1"/>
  <c r="H7" i="3" s="1"/>
  <c r="I7" i="3" s="1"/>
  <c r="J7" i="3" s="1"/>
  <c r="F23" i="7" l="1"/>
  <c r="G50" i="3"/>
  <c r="G34" i="3"/>
  <c r="H34" i="3" s="1"/>
  <c r="I34" i="3" s="1"/>
  <c r="J34" i="3" s="1"/>
  <c r="G9" i="3"/>
  <c r="H9" i="3" s="1"/>
  <c r="I9" i="3" s="1"/>
  <c r="J9" i="3" s="1"/>
  <c r="I8" i="6"/>
  <c r="H63" i="2"/>
  <c r="G63" i="2"/>
  <c r="G6" i="6"/>
  <c r="G11" i="6" s="1"/>
  <c r="H39" i="9" s="1"/>
  <c r="I39" i="9" s="1"/>
  <c r="J39" i="9" s="1"/>
  <c r="K39" i="9" s="1"/>
  <c r="I7" i="6"/>
  <c r="E79" i="2"/>
  <c r="D79" i="2"/>
  <c r="F25" i="7" l="1"/>
  <c r="G20" i="7"/>
  <c r="G21" i="7" s="1"/>
  <c r="H50" i="3"/>
  <c r="J8" i="6"/>
  <c r="J63" i="2" s="1"/>
  <c r="I63" i="2"/>
  <c r="H6" i="6"/>
  <c r="H11" i="6" s="1"/>
  <c r="M39" i="9" s="1"/>
  <c r="N39" i="9" s="1"/>
  <c r="O39" i="9" s="1"/>
  <c r="P39" i="9" s="1"/>
  <c r="J7" i="6"/>
  <c r="F31" i="3"/>
  <c r="F15" i="3"/>
  <c r="G14" i="3"/>
  <c r="H14" i="3" s="1"/>
  <c r="I14" i="3" s="1"/>
  <c r="J14" i="3" s="1"/>
  <c r="F40" i="3"/>
  <c r="F42" i="3"/>
  <c r="F39" i="3"/>
  <c r="F6" i="4"/>
  <c r="F18" i="4" s="1"/>
  <c r="J98" i="4"/>
  <c r="G10" i="3"/>
  <c r="H10" i="3" s="1"/>
  <c r="I10" i="3" s="1"/>
  <c r="J10" i="3" s="1"/>
  <c r="F10" i="3"/>
  <c r="F21" i="3"/>
  <c r="D78" i="4"/>
  <c r="E78" i="4"/>
  <c r="D65" i="4"/>
  <c r="D67" i="4" s="1"/>
  <c r="F5" i="4"/>
  <c r="F30" i="3"/>
  <c r="F29" i="3"/>
  <c r="E86" i="1"/>
  <c r="E85" i="1"/>
  <c r="D86" i="1"/>
  <c r="D85" i="1"/>
  <c r="C86" i="1"/>
  <c r="C85" i="1"/>
  <c r="E19" i="5"/>
  <c r="E17" i="5"/>
  <c r="E10" i="5"/>
  <c r="E8" i="5"/>
  <c r="E6" i="5"/>
  <c r="F82" i="1"/>
  <c r="G82" i="1"/>
  <c r="H82" i="1"/>
  <c r="I82" i="1"/>
  <c r="J82" i="1"/>
  <c r="G23" i="7" l="1"/>
  <c r="E14" i="5"/>
  <c r="F17" i="4"/>
  <c r="G18" i="4"/>
  <c r="H18" i="4"/>
  <c r="I50" i="3"/>
  <c r="G42" i="3"/>
  <c r="H42" i="3" s="1"/>
  <c r="I42" i="3" s="1"/>
  <c r="J42" i="3" s="1"/>
  <c r="G40" i="3"/>
  <c r="H40" i="3" s="1"/>
  <c r="I40" i="3" s="1"/>
  <c r="J40" i="3" s="1"/>
  <c r="G39" i="3"/>
  <c r="H39" i="3" s="1"/>
  <c r="I39" i="3" s="1"/>
  <c r="J39" i="3" s="1"/>
  <c r="G31" i="3"/>
  <c r="H31" i="3" s="1"/>
  <c r="I31" i="3" s="1"/>
  <c r="J31" i="3" s="1"/>
  <c r="G30" i="3"/>
  <c r="H30" i="3" s="1"/>
  <c r="I30" i="3" s="1"/>
  <c r="J30" i="3" s="1"/>
  <c r="G29" i="3"/>
  <c r="H29" i="3" s="1"/>
  <c r="I29" i="3" s="1"/>
  <c r="J29" i="3" s="1"/>
  <c r="G21" i="3"/>
  <c r="H21" i="3" s="1"/>
  <c r="I21" i="3" s="1"/>
  <c r="J21" i="3" s="1"/>
  <c r="G15" i="3"/>
  <c r="H15" i="3" s="1"/>
  <c r="I15" i="3" s="1"/>
  <c r="J15" i="3" s="1"/>
  <c r="I6" i="6"/>
  <c r="I11" i="6" s="1"/>
  <c r="R39" i="9" s="1"/>
  <c r="S39" i="9" s="1"/>
  <c r="T39" i="9" s="1"/>
  <c r="U39" i="9" s="1"/>
  <c r="D74" i="4"/>
  <c r="E65" i="4" s="1"/>
  <c r="E67" i="4" s="1"/>
  <c r="D70" i="4"/>
  <c r="B24" i="5"/>
  <c r="B25" i="5"/>
  <c r="D19" i="5"/>
  <c r="C19" i="5"/>
  <c r="D17" i="5"/>
  <c r="C17" i="5"/>
  <c r="D10" i="5"/>
  <c r="C10" i="5"/>
  <c r="D8" i="5"/>
  <c r="C8" i="5"/>
  <c r="D6" i="5"/>
  <c r="C6" i="5"/>
  <c r="B23" i="5"/>
  <c r="B22" i="5"/>
  <c r="B21" i="5"/>
  <c r="B19" i="5"/>
  <c r="B17" i="5"/>
  <c r="B13" i="5"/>
  <c r="B12" i="5"/>
  <c r="H13" i="9" l="1"/>
  <c r="I13" i="9" s="1"/>
  <c r="J13" i="9" s="1"/>
  <c r="K13" i="9" s="1"/>
  <c r="H20" i="7"/>
  <c r="G25" i="7"/>
  <c r="D14" i="5"/>
  <c r="J50" i="3"/>
  <c r="J6" i="6"/>
  <c r="J11" i="6" s="1"/>
  <c r="W39" i="9" s="1"/>
  <c r="X39" i="9" s="1"/>
  <c r="Y39" i="9" s="1"/>
  <c r="Z39" i="9" s="1"/>
  <c r="E70" i="4"/>
  <c r="J70" i="4" s="1"/>
  <c r="E74" i="4"/>
  <c r="F65" i="4" s="1"/>
  <c r="E26" i="5"/>
  <c r="D26" i="5"/>
  <c r="C26" i="5"/>
  <c r="B10" i="5"/>
  <c r="B8" i="5"/>
  <c r="B6" i="5"/>
  <c r="E53" i="3"/>
  <c r="D53" i="3"/>
  <c r="C53" i="3"/>
  <c r="M13" i="9" l="1"/>
  <c r="N13" i="9" s="1"/>
  <c r="O13" i="9" s="1"/>
  <c r="P13" i="9" s="1"/>
  <c r="H21" i="7"/>
  <c r="H23" i="7" s="1"/>
  <c r="I70" i="4"/>
  <c r="F70" i="4"/>
  <c r="H70" i="4"/>
  <c r="G70" i="4"/>
  <c r="F67" i="4"/>
  <c r="G20" i="5"/>
  <c r="F20" i="5"/>
  <c r="H20" i="5"/>
  <c r="I20" i="5"/>
  <c r="J20" i="5"/>
  <c r="E28" i="5"/>
  <c r="D28" i="5"/>
  <c r="C28" i="5"/>
  <c r="E24" i="3"/>
  <c r="D24" i="3"/>
  <c r="C24" i="3"/>
  <c r="W13" i="9" l="1"/>
  <c r="X13" i="9" s="1"/>
  <c r="Y13" i="9" s="1"/>
  <c r="Z13" i="9" s="1"/>
  <c r="R13" i="9"/>
  <c r="S13" i="9" s="1"/>
  <c r="T13" i="9" s="1"/>
  <c r="U13" i="9" s="1"/>
  <c r="H25" i="7"/>
  <c r="I20" i="7"/>
  <c r="F69" i="4"/>
  <c r="F48" i="2" s="1"/>
  <c r="G17" i="4"/>
  <c r="H17" i="4"/>
  <c r="I17" i="4"/>
  <c r="J17" i="4"/>
  <c r="I21" i="7" l="1"/>
  <c r="I23" i="7"/>
  <c r="F74" i="4"/>
  <c r="G65" i="4" s="1"/>
  <c r="G67" i="4" s="1"/>
  <c r="G69" i="4" s="1"/>
  <c r="J20" i="7" l="1"/>
  <c r="I25" i="7"/>
  <c r="G48" i="2"/>
  <c r="G74" i="4"/>
  <c r="H65" i="4" s="1"/>
  <c r="F77" i="4"/>
  <c r="F11" i="3" s="1"/>
  <c r="C11" i="9" s="1"/>
  <c r="D11" i="9" s="1"/>
  <c r="E11" i="9" s="1"/>
  <c r="F11" i="9" s="1"/>
  <c r="F76" i="4"/>
  <c r="J21" i="7" l="1"/>
  <c r="J23" i="7" s="1"/>
  <c r="J25" i="7" s="1"/>
  <c r="F12" i="5"/>
  <c r="F78" i="4"/>
  <c r="G77" i="4"/>
  <c r="G11" i="3" s="1"/>
  <c r="H11" i="9" s="1"/>
  <c r="I11" i="9" s="1"/>
  <c r="J11" i="9" s="1"/>
  <c r="K11" i="9" s="1"/>
  <c r="G76" i="4"/>
  <c r="H67" i="4"/>
  <c r="H69" i="4" s="1"/>
  <c r="E10" i="1"/>
  <c r="D10" i="1"/>
  <c r="C10" i="1"/>
  <c r="F19" i="3" l="1"/>
  <c r="C17" i="9" s="1"/>
  <c r="D17" i="9" s="1"/>
  <c r="E17" i="9" s="1"/>
  <c r="F17" i="9" s="1"/>
  <c r="G78" i="4"/>
  <c r="G12" i="5"/>
  <c r="E9" i="5"/>
  <c r="E54" i="2"/>
  <c r="D9" i="5"/>
  <c r="D54" i="2"/>
  <c r="C54" i="2"/>
  <c r="H74" i="4"/>
  <c r="C43" i="3"/>
  <c r="C55" i="3" s="1"/>
  <c r="C33" i="3"/>
  <c r="C35" i="3" s="1"/>
  <c r="C16" i="3"/>
  <c r="C26" i="3" s="1"/>
  <c r="E43" i="3"/>
  <c r="D43" i="3"/>
  <c r="D55" i="3" s="1"/>
  <c r="D33" i="3"/>
  <c r="D35" i="3" s="1"/>
  <c r="E33" i="3"/>
  <c r="E35" i="3" s="1"/>
  <c r="D16" i="3"/>
  <c r="D26" i="3" s="1"/>
  <c r="E16" i="3"/>
  <c r="E26" i="3" s="1"/>
  <c r="G19" i="3" l="1"/>
  <c r="H17" i="9" s="1"/>
  <c r="I17" i="9" s="1"/>
  <c r="J17" i="9" s="1"/>
  <c r="K17" i="9" s="1"/>
  <c r="J9" i="5"/>
  <c r="F9" i="5"/>
  <c r="H9" i="5"/>
  <c r="I9" i="5"/>
  <c r="G9" i="5"/>
  <c r="I54" i="2"/>
  <c r="G54" i="2"/>
  <c r="J54" i="2"/>
  <c r="H54" i="2"/>
  <c r="F54" i="2"/>
  <c r="E55" i="3"/>
  <c r="E57" i="3" s="1"/>
  <c r="E58" i="3" s="1"/>
  <c r="E1" i="3" s="1"/>
  <c r="I65" i="4"/>
  <c r="I67" i="4" s="1"/>
  <c r="I69" i="4" s="1"/>
  <c r="H48" i="2"/>
  <c r="C57" i="3"/>
  <c r="C58" i="3" s="1"/>
  <c r="C1" i="3" s="1"/>
  <c r="D57" i="3"/>
  <c r="D58" i="3" s="1"/>
  <c r="D1" i="3" s="1"/>
  <c r="C1" i="2" l="1"/>
  <c r="C1" i="1"/>
  <c r="E1" i="2"/>
  <c r="E1" i="1"/>
  <c r="I48" i="2"/>
  <c r="I74" i="4"/>
  <c r="H77" i="4"/>
  <c r="H11" i="3" s="1"/>
  <c r="M11" i="9" s="1"/>
  <c r="N11" i="9" s="1"/>
  <c r="O11" i="9" s="1"/>
  <c r="P11" i="9" s="1"/>
  <c r="H76" i="4"/>
  <c r="C41" i="2"/>
  <c r="E41" i="2"/>
  <c r="D41" i="2"/>
  <c r="E53" i="2"/>
  <c r="D53" i="2"/>
  <c r="C53" i="2"/>
  <c r="H12" i="5" l="1"/>
  <c r="H78" i="4"/>
  <c r="I77" i="4"/>
  <c r="I11" i="3" s="1"/>
  <c r="R11" i="9" s="1"/>
  <c r="S11" i="9" s="1"/>
  <c r="T11" i="9" s="1"/>
  <c r="U11" i="9" s="1"/>
  <c r="I76" i="4"/>
  <c r="I12" i="5" s="1"/>
  <c r="J65" i="4"/>
  <c r="J67" i="4" s="1"/>
  <c r="J69" i="4" s="1"/>
  <c r="H19" i="3"/>
  <c r="M17" i="9" s="1"/>
  <c r="N17" i="9" s="1"/>
  <c r="O17" i="9" s="1"/>
  <c r="P17" i="9" s="1"/>
  <c r="D69" i="2"/>
  <c r="C69" i="2"/>
  <c r="C72" i="2" s="1"/>
  <c r="D70" i="2" s="1"/>
  <c r="E69" i="2"/>
  <c r="J48" i="2" l="1"/>
  <c r="J74" i="4"/>
  <c r="I78" i="4"/>
  <c r="D72" i="2"/>
  <c r="E70" i="2" s="1"/>
  <c r="E72" i="2" s="1"/>
  <c r="F70" i="2" s="1"/>
  <c r="F6" i="7" s="1"/>
  <c r="E82" i="1"/>
  <c r="E81" i="1" s="1"/>
  <c r="D82" i="1"/>
  <c r="D81" i="1" s="1"/>
  <c r="C82" i="1"/>
  <c r="C90" i="1" s="1"/>
  <c r="E67" i="1"/>
  <c r="D67" i="1"/>
  <c r="C67" i="1"/>
  <c r="C28" i="1"/>
  <c r="C29" i="1" s="1"/>
  <c r="E60" i="1"/>
  <c r="D60" i="1"/>
  <c r="C60" i="1"/>
  <c r="C50" i="1"/>
  <c r="E50" i="1"/>
  <c r="D50" i="1"/>
  <c r="E28" i="1"/>
  <c r="E29" i="1" s="1"/>
  <c r="D28" i="1"/>
  <c r="D29" i="1" s="1"/>
  <c r="C20" i="1"/>
  <c r="C21" i="1" s="1"/>
  <c r="E20" i="1"/>
  <c r="D20" i="1"/>
  <c r="E7" i="1"/>
  <c r="E9" i="1"/>
  <c r="D9" i="1"/>
  <c r="D7" i="1"/>
  <c r="E89" i="1" l="1"/>
  <c r="F89" i="1" s="1"/>
  <c r="G89" i="1" s="1"/>
  <c r="H89" i="1" s="1"/>
  <c r="I89" i="1" s="1"/>
  <c r="J89" i="1" s="1"/>
  <c r="E52" i="1"/>
  <c r="E11" i="5" s="1"/>
  <c r="E51" i="1"/>
  <c r="E64" i="2"/>
  <c r="C52" i="1"/>
  <c r="C51" i="1"/>
  <c r="J29" i="1"/>
  <c r="G29" i="1"/>
  <c r="H29" i="1"/>
  <c r="F29" i="1"/>
  <c r="I29" i="1"/>
  <c r="D52" i="1"/>
  <c r="D11" i="5" s="1"/>
  <c r="D51" i="1"/>
  <c r="D22" i="1"/>
  <c r="D18" i="5"/>
  <c r="D7" i="5"/>
  <c r="E18" i="5"/>
  <c r="E7" i="5"/>
  <c r="J77" i="4"/>
  <c r="J11" i="3" s="1"/>
  <c r="W11" i="9" s="1"/>
  <c r="X11" i="9" s="1"/>
  <c r="Y11" i="9" s="1"/>
  <c r="Z11" i="9" s="1"/>
  <c r="J76" i="4"/>
  <c r="J12" i="5" s="1"/>
  <c r="I19" i="3"/>
  <c r="R17" i="9" s="1"/>
  <c r="S17" i="9" s="1"/>
  <c r="T17" i="9" s="1"/>
  <c r="U17" i="9" s="1"/>
  <c r="D90" i="1"/>
  <c r="C89" i="1"/>
  <c r="C64" i="2" s="1"/>
  <c r="C81" i="1"/>
  <c r="E90" i="1"/>
  <c r="F90" i="1" s="1"/>
  <c r="G90" i="1" s="1"/>
  <c r="H90" i="1" s="1"/>
  <c r="I90" i="1" s="1"/>
  <c r="J90" i="1" s="1"/>
  <c r="D89" i="1"/>
  <c r="D64" i="2" s="1"/>
  <c r="C22" i="1"/>
  <c r="D11" i="1"/>
  <c r="E22" i="1"/>
  <c r="E21" i="1"/>
  <c r="D21" i="1"/>
  <c r="E11" i="1"/>
  <c r="D23" i="1" l="1"/>
  <c r="C55" i="1"/>
  <c r="D55" i="1"/>
  <c r="D56" i="1" s="1"/>
  <c r="E55" i="1"/>
  <c r="G11" i="5"/>
  <c r="J11" i="5"/>
  <c r="I11" i="5"/>
  <c r="F11" i="5"/>
  <c r="H11" i="5"/>
  <c r="F51" i="1"/>
  <c r="I21" i="1"/>
  <c r="I18" i="5"/>
  <c r="G18" i="5"/>
  <c r="J18" i="5"/>
  <c r="F18" i="5"/>
  <c r="H18" i="5"/>
  <c r="I7" i="5"/>
  <c r="G7" i="5"/>
  <c r="H7" i="5"/>
  <c r="F7" i="5"/>
  <c r="J7" i="5"/>
  <c r="J78" i="4"/>
  <c r="J21" i="1"/>
  <c r="H21" i="1"/>
  <c r="G21" i="1"/>
  <c r="F21" i="1"/>
  <c r="G11" i="1"/>
  <c r="F11" i="1"/>
  <c r="F10" i="1" s="1"/>
  <c r="H11" i="1"/>
  <c r="I11" i="1"/>
  <c r="J11" i="1"/>
  <c r="E23" i="1"/>
  <c r="C23" i="1"/>
  <c r="C56" i="1"/>
  <c r="D62" i="1" l="1"/>
  <c r="D63" i="1" s="1"/>
  <c r="G51" i="1"/>
  <c r="F44" i="2"/>
  <c r="F8" i="5"/>
  <c r="F27" i="2" s="1"/>
  <c r="F20" i="1"/>
  <c r="G10" i="1"/>
  <c r="F28" i="1"/>
  <c r="F50" i="1"/>
  <c r="J19" i="3"/>
  <c r="W17" i="9" s="1"/>
  <c r="X17" i="9" s="1"/>
  <c r="Y17" i="9" s="1"/>
  <c r="Z17" i="9" s="1"/>
  <c r="E56" i="1"/>
  <c r="E62" i="1"/>
  <c r="D69" i="1"/>
  <c r="H51" i="1" l="1"/>
  <c r="I51" i="1" s="1"/>
  <c r="F52" i="1"/>
  <c r="F10" i="5" s="1"/>
  <c r="F28" i="2" s="1"/>
  <c r="H10" i="1"/>
  <c r="G44" i="2"/>
  <c r="G8" i="5"/>
  <c r="G27" i="2" s="1"/>
  <c r="G28" i="1"/>
  <c r="G20" i="1"/>
  <c r="G22" i="1" s="1"/>
  <c r="G50" i="1"/>
  <c r="F17" i="5"/>
  <c r="F29" i="2" s="1"/>
  <c r="F6" i="5"/>
  <c r="F20" i="3"/>
  <c r="F22" i="1"/>
  <c r="F7" i="4"/>
  <c r="D70" i="1"/>
  <c r="D73" i="1"/>
  <c r="E69" i="1"/>
  <c r="E74" i="1" s="1"/>
  <c r="E63" i="1"/>
  <c r="D76" i="1" l="1"/>
  <c r="F26" i="2"/>
  <c r="F14" i="5"/>
  <c r="F43" i="4"/>
  <c r="G44" i="4" s="1"/>
  <c r="F55" i="1"/>
  <c r="F56" i="1" s="1"/>
  <c r="J51" i="1"/>
  <c r="G20" i="3"/>
  <c r="F8" i="4"/>
  <c r="F19" i="4"/>
  <c r="F24" i="4" s="1"/>
  <c r="J19" i="4"/>
  <c r="H19" i="4"/>
  <c r="G19" i="4"/>
  <c r="I19" i="4"/>
  <c r="F22" i="3"/>
  <c r="F47" i="3"/>
  <c r="F18" i="3"/>
  <c r="F23" i="1"/>
  <c r="G52" i="1"/>
  <c r="G10" i="5" s="1"/>
  <c r="G17" i="5"/>
  <c r="G29" i="2" s="1"/>
  <c r="G6" i="5"/>
  <c r="I10" i="1"/>
  <c r="H44" i="2"/>
  <c r="H7" i="4" s="1"/>
  <c r="H28" i="1"/>
  <c r="H8" i="5"/>
  <c r="H27" i="2" s="1"/>
  <c r="H20" i="1"/>
  <c r="H50" i="1"/>
  <c r="G7" i="4"/>
  <c r="G23" i="1"/>
  <c r="E70" i="1"/>
  <c r="E76" i="1" s="1"/>
  <c r="E73" i="1"/>
  <c r="C62" i="1"/>
  <c r="H20" i="3" l="1"/>
  <c r="G26" i="2"/>
  <c r="G14" i="5"/>
  <c r="H47" i="4"/>
  <c r="H48" i="4" s="1"/>
  <c r="G45" i="4"/>
  <c r="H46" i="4" s="1"/>
  <c r="H44" i="4"/>
  <c r="F44" i="4"/>
  <c r="F53" i="4" s="1"/>
  <c r="I44" i="4"/>
  <c r="H52" i="1"/>
  <c r="H10" i="5" s="1"/>
  <c r="H28" i="2" s="1"/>
  <c r="G18" i="3"/>
  <c r="G28" i="2"/>
  <c r="G22" i="3" s="1"/>
  <c r="F28" i="4"/>
  <c r="F58" i="1"/>
  <c r="G47" i="3"/>
  <c r="H6" i="5"/>
  <c r="H17" i="5"/>
  <c r="H29" i="2" s="1"/>
  <c r="J10" i="1"/>
  <c r="I44" i="2"/>
  <c r="I7" i="4" s="1"/>
  <c r="I28" i="1"/>
  <c r="I20" i="1"/>
  <c r="I22" i="1" s="1"/>
  <c r="I8" i="5"/>
  <c r="I27" i="2" s="1"/>
  <c r="I20" i="3" s="1"/>
  <c r="I50" i="1"/>
  <c r="G55" i="1"/>
  <c r="G56" i="1" s="1"/>
  <c r="H22" i="1"/>
  <c r="J21" i="4"/>
  <c r="I21" i="4"/>
  <c r="H21" i="4"/>
  <c r="J20" i="4"/>
  <c r="G20" i="4"/>
  <c r="G24" i="4" s="1"/>
  <c r="I20" i="4"/>
  <c r="H20" i="4"/>
  <c r="C63" i="1"/>
  <c r="C69" i="1"/>
  <c r="H26" i="2" l="1"/>
  <c r="H14" i="5"/>
  <c r="I46" i="4"/>
  <c r="F55" i="4"/>
  <c r="J46" i="4"/>
  <c r="I48" i="4"/>
  <c r="J48" i="4"/>
  <c r="H53" i="4"/>
  <c r="G46" i="4"/>
  <c r="G53" i="4" s="1"/>
  <c r="I49" i="4"/>
  <c r="J50" i="4" s="1"/>
  <c r="H18" i="3"/>
  <c r="I52" i="1"/>
  <c r="I10" i="5" s="1"/>
  <c r="H47" i="3"/>
  <c r="H22" i="3"/>
  <c r="I23" i="1"/>
  <c r="H55" i="1"/>
  <c r="H56" i="1" s="1"/>
  <c r="H23" i="1"/>
  <c r="J44" i="2"/>
  <c r="J7" i="4" s="1"/>
  <c r="J20" i="1"/>
  <c r="J28" i="1"/>
  <c r="J8" i="5"/>
  <c r="J27" i="2" s="1"/>
  <c r="J20" i="3" s="1"/>
  <c r="J50" i="1"/>
  <c r="F8" i="2"/>
  <c r="F60" i="1"/>
  <c r="I6" i="5"/>
  <c r="I17" i="5"/>
  <c r="I29" i="2" s="1"/>
  <c r="G5" i="4"/>
  <c r="F30" i="4"/>
  <c r="H24" i="4"/>
  <c r="J22" i="4"/>
  <c r="I22" i="4"/>
  <c r="I24" i="4" s="1"/>
  <c r="G58" i="1"/>
  <c r="G25" i="4"/>
  <c r="C70" i="1"/>
  <c r="C76" i="1" s="1"/>
  <c r="C73" i="1"/>
  <c r="F56" i="4" l="1"/>
  <c r="F58" i="4" s="1"/>
  <c r="D6" i="9"/>
  <c r="I26" i="2"/>
  <c r="I18" i="3" s="1"/>
  <c r="I14" i="5"/>
  <c r="G8" i="4"/>
  <c r="I50" i="4"/>
  <c r="I53" i="4" s="1"/>
  <c r="J23" i="4"/>
  <c r="J24" i="4" s="1"/>
  <c r="J51" i="4"/>
  <c r="J52" i="4" s="1"/>
  <c r="H25" i="4"/>
  <c r="F62" i="1"/>
  <c r="F63" i="1" s="1"/>
  <c r="F6" i="3"/>
  <c r="C6" i="9" s="1"/>
  <c r="J17" i="5"/>
  <c r="J29" i="2" s="1"/>
  <c r="J6" i="5"/>
  <c r="J22" i="1"/>
  <c r="I47" i="3"/>
  <c r="I28" i="2"/>
  <c r="I22" i="3" s="1"/>
  <c r="J52" i="1"/>
  <c r="J10" i="5" s="1"/>
  <c r="I55" i="1"/>
  <c r="I56" i="1" s="1"/>
  <c r="G60" i="1"/>
  <c r="G8" i="2"/>
  <c r="H58" i="1"/>
  <c r="I58" i="1"/>
  <c r="I25" i="4"/>
  <c r="E6" i="9" l="1"/>
  <c r="F6" i="9" s="1"/>
  <c r="J26" i="2"/>
  <c r="J18" i="3" s="1"/>
  <c r="J14" i="5"/>
  <c r="G28" i="4"/>
  <c r="G30" i="4" s="1"/>
  <c r="G55" i="4"/>
  <c r="I6" i="9" s="1"/>
  <c r="J53" i="4"/>
  <c r="J58" i="1"/>
  <c r="J60" i="1" s="1"/>
  <c r="G62" i="1"/>
  <c r="G63" i="1" s="1"/>
  <c r="J55" i="1"/>
  <c r="J56" i="1" s="1"/>
  <c r="J23" i="1"/>
  <c r="J28" i="2"/>
  <c r="J22" i="3" s="1"/>
  <c r="G6" i="3"/>
  <c r="H6" i="9" s="1"/>
  <c r="J47" i="3"/>
  <c r="J25" i="4"/>
  <c r="H60" i="1"/>
  <c r="H8" i="2"/>
  <c r="I60" i="1"/>
  <c r="I8" i="2"/>
  <c r="J6" i="9" l="1"/>
  <c r="K6" i="9" s="1"/>
  <c r="G56" i="4"/>
  <c r="G58" i="4" s="1"/>
  <c r="H5" i="4"/>
  <c r="H8" i="4" s="1"/>
  <c r="J8" i="2"/>
  <c r="H62" i="1"/>
  <c r="H63" i="1" s="1"/>
  <c r="I62" i="1"/>
  <c r="I63" i="1" s="1"/>
  <c r="H6" i="3"/>
  <c r="J62" i="1"/>
  <c r="I6" i="3" l="1"/>
  <c r="R6" i="9" s="1"/>
  <c r="M6" i="9"/>
  <c r="H28" i="4"/>
  <c r="H55" i="4"/>
  <c r="N6" i="9" s="1"/>
  <c r="J63" i="1"/>
  <c r="J6" i="3" l="1"/>
  <c r="W6" i="9" s="1"/>
  <c r="O6" i="9"/>
  <c r="P6" i="9" s="1"/>
  <c r="I5" i="4"/>
  <c r="I8" i="4" s="1"/>
  <c r="H56" i="4"/>
  <c r="H58" i="4" s="1"/>
  <c r="H30" i="4"/>
  <c r="I28" i="4" l="1"/>
  <c r="I55" i="4"/>
  <c r="S6" i="9" s="1"/>
  <c r="T6" i="9" s="1"/>
  <c r="U6" i="9" s="1"/>
  <c r="I56" i="4" l="1"/>
  <c r="I58" i="4" s="1"/>
  <c r="I30" i="4"/>
  <c r="J5" i="4"/>
  <c r="J8" i="4" s="1"/>
  <c r="J28" i="4" l="1"/>
  <c r="J55" i="4"/>
  <c r="X6" i="9" s="1"/>
  <c r="Y6" i="9" s="1"/>
  <c r="Z6" i="9" s="1"/>
  <c r="J30" i="4" l="1"/>
  <c r="J56" i="4"/>
  <c r="J58" i="4" s="1"/>
  <c r="F26" i="5" l="1"/>
  <c r="G26" i="5"/>
  <c r="G28" i="5" s="1"/>
  <c r="H26" i="5"/>
  <c r="I26" i="5"/>
  <c r="I28" i="5" s="1"/>
  <c r="J26" i="5"/>
  <c r="F28" i="5"/>
  <c r="H28" i="5"/>
  <c r="J28" i="5"/>
  <c r="F1" i="3" l="1"/>
  <c r="G1" i="3"/>
  <c r="H1" i="3"/>
  <c r="I1" i="3"/>
  <c r="J1" i="3"/>
  <c r="F12" i="3"/>
  <c r="G12" i="3"/>
  <c r="H12" i="3"/>
  <c r="I12" i="3"/>
  <c r="J12" i="3"/>
  <c r="F16" i="3"/>
  <c r="G16" i="3"/>
  <c r="H16" i="3"/>
  <c r="I16" i="3"/>
  <c r="J16" i="3"/>
  <c r="F23" i="3"/>
  <c r="G23" i="3"/>
  <c r="H23" i="3"/>
  <c r="I23" i="3"/>
  <c r="J23" i="3"/>
  <c r="F24" i="3"/>
  <c r="G24" i="3"/>
  <c r="H24" i="3"/>
  <c r="I24" i="3"/>
  <c r="J24" i="3"/>
  <c r="F26" i="3"/>
  <c r="G26" i="3"/>
  <c r="H26" i="3"/>
  <c r="I26" i="3"/>
  <c r="J26" i="3"/>
  <c r="F32" i="3"/>
  <c r="G32" i="3"/>
  <c r="H32" i="3"/>
  <c r="I32" i="3"/>
  <c r="J32" i="3"/>
  <c r="F33" i="3"/>
  <c r="G33" i="3"/>
  <c r="H33" i="3"/>
  <c r="I33" i="3"/>
  <c r="J33" i="3"/>
  <c r="F35" i="3"/>
  <c r="G35" i="3"/>
  <c r="H35" i="3"/>
  <c r="I35" i="3"/>
  <c r="J35" i="3"/>
  <c r="F38" i="3"/>
  <c r="G38" i="3"/>
  <c r="H38" i="3"/>
  <c r="I38" i="3"/>
  <c r="J38" i="3"/>
  <c r="F41" i="3"/>
  <c r="G41" i="3"/>
  <c r="H41" i="3"/>
  <c r="I41" i="3"/>
  <c r="J41" i="3"/>
  <c r="F43" i="3"/>
  <c r="G43" i="3"/>
  <c r="H43" i="3"/>
  <c r="I43" i="3"/>
  <c r="J43" i="3"/>
  <c r="F48" i="3"/>
  <c r="G48" i="3"/>
  <c r="H48" i="3"/>
  <c r="I48" i="3"/>
  <c r="J48" i="3"/>
  <c r="F49" i="3"/>
  <c r="G49" i="3"/>
  <c r="H49" i="3"/>
  <c r="I49" i="3"/>
  <c r="J49" i="3"/>
  <c r="F53" i="3"/>
  <c r="G53" i="3"/>
  <c r="H53" i="3"/>
  <c r="I53" i="3"/>
  <c r="J53" i="3"/>
  <c r="F55" i="3"/>
  <c r="G55" i="3"/>
  <c r="H55" i="3"/>
  <c r="I55" i="3"/>
  <c r="J55" i="3"/>
  <c r="F57" i="3"/>
  <c r="G57" i="3"/>
  <c r="H57" i="3"/>
  <c r="I57" i="3"/>
  <c r="J57" i="3"/>
  <c r="F58" i="3"/>
  <c r="G58" i="3"/>
  <c r="H58" i="3"/>
  <c r="I58" i="3"/>
  <c r="J58" i="3"/>
  <c r="F1" i="2"/>
  <c r="G1" i="2"/>
  <c r="H1" i="2"/>
  <c r="I1" i="2"/>
  <c r="J1" i="2"/>
  <c r="F6" i="2"/>
  <c r="G6" i="2"/>
  <c r="H6" i="2"/>
  <c r="I6" i="2"/>
  <c r="J6" i="2"/>
  <c r="F14" i="2"/>
  <c r="G14" i="2"/>
  <c r="H14" i="2"/>
  <c r="I14" i="2"/>
  <c r="J14" i="2"/>
  <c r="F15" i="2"/>
  <c r="G15" i="2"/>
  <c r="H15" i="2"/>
  <c r="I15" i="2"/>
  <c r="J15" i="2"/>
  <c r="F24" i="2"/>
  <c r="G24" i="2"/>
  <c r="H24" i="2"/>
  <c r="I24" i="2"/>
  <c r="J24" i="2"/>
  <c r="F34" i="2"/>
  <c r="G34" i="2"/>
  <c r="H34" i="2"/>
  <c r="I34" i="2"/>
  <c r="J34" i="2"/>
  <c r="F38" i="2"/>
  <c r="G38" i="2"/>
  <c r="H38" i="2"/>
  <c r="I38" i="2"/>
  <c r="J38" i="2"/>
  <c r="F41" i="2"/>
  <c r="G41" i="2"/>
  <c r="H41" i="2"/>
  <c r="I41" i="2"/>
  <c r="J41" i="2"/>
  <c r="F51" i="2"/>
  <c r="G51" i="2"/>
  <c r="H51" i="2"/>
  <c r="I51" i="2"/>
  <c r="J51" i="2"/>
  <c r="F53" i="2"/>
  <c r="G53" i="2"/>
  <c r="H53" i="2"/>
  <c r="I53" i="2"/>
  <c r="J53" i="2"/>
  <c r="F58" i="2"/>
  <c r="G58" i="2"/>
  <c r="H58" i="2"/>
  <c r="I58" i="2"/>
  <c r="J58" i="2"/>
  <c r="F59" i="2"/>
  <c r="G59" i="2"/>
  <c r="H59" i="2"/>
  <c r="I59" i="2"/>
  <c r="J59" i="2"/>
  <c r="F66" i="2"/>
  <c r="G66" i="2"/>
  <c r="H66" i="2"/>
  <c r="I66" i="2"/>
  <c r="J66" i="2"/>
  <c r="F67" i="2"/>
  <c r="G67" i="2"/>
  <c r="H67" i="2"/>
  <c r="I67" i="2"/>
  <c r="J67" i="2"/>
  <c r="F69" i="2"/>
  <c r="G69" i="2"/>
  <c r="H69" i="2"/>
  <c r="I69" i="2"/>
  <c r="J69" i="2"/>
  <c r="G70" i="2"/>
  <c r="H70" i="2"/>
  <c r="I70" i="2"/>
  <c r="J70" i="2"/>
  <c r="F72" i="2"/>
  <c r="G72" i="2"/>
  <c r="H72" i="2"/>
  <c r="I72" i="2"/>
  <c r="J72" i="2"/>
  <c r="F74" i="2"/>
  <c r="G74" i="2"/>
  <c r="H74" i="2"/>
  <c r="I74" i="2"/>
  <c r="J74" i="2"/>
  <c r="G6" i="7"/>
  <c r="H6" i="7"/>
  <c r="I6" i="7"/>
  <c r="J6" i="7"/>
  <c r="F7" i="7"/>
  <c r="G7" i="7"/>
  <c r="H7" i="7"/>
  <c r="I7" i="7"/>
  <c r="J7" i="7"/>
  <c r="F9" i="7"/>
  <c r="G9" i="7"/>
  <c r="H9" i="7"/>
  <c r="I9" i="7"/>
  <c r="J9" i="7"/>
  <c r="G12" i="7"/>
  <c r="H12" i="7"/>
  <c r="I12" i="7"/>
  <c r="J12" i="7"/>
  <c r="F13" i="7"/>
  <c r="G13" i="7"/>
  <c r="H13" i="7"/>
  <c r="I13" i="7"/>
  <c r="J13" i="7"/>
  <c r="F15" i="7"/>
  <c r="G15" i="7"/>
  <c r="H15" i="7"/>
  <c r="I15" i="7"/>
  <c r="J15" i="7"/>
  <c r="F16" i="7"/>
  <c r="G16" i="7"/>
  <c r="H16" i="7"/>
  <c r="I16" i="7"/>
  <c r="J16" i="7"/>
  <c r="F28" i="7"/>
  <c r="G28" i="7"/>
  <c r="H28" i="7"/>
  <c r="I28" i="7"/>
  <c r="J28" i="7"/>
  <c r="F29" i="7"/>
  <c r="G29" i="7"/>
  <c r="H29" i="7"/>
  <c r="I29" i="7"/>
  <c r="J29" i="7"/>
  <c r="F30" i="7"/>
  <c r="G30" i="7"/>
  <c r="H30" i="7"/>
  <c r="I30" i="7"/>
  <c r="J30" i="7"/>
  <c r="F32" i="7"/>
  <c r="G32" i="7"/>
  <c r="H32" i="7"/>
  <c r="I32" i="7"/>
  <c r="J32" i="7"/>
  <c r="F1" i="1"/>
  <c r="G1" i="1"/>
  <c r="H1" i="1"/>
  <c r="I1" i="1"/>
  <c r="J1" i="1"/>
  <c r="F65" i="1"/>
  <c r="G65" i="1"/>
  <c r="H65" i="1"/>
  <c r="I65" i="1"/>
  <c r="J65" i="1"/>
  <c r="F66" i="1"/>
  <c r="G66" i="1"/>
  <c r="H66" i="1"/>
  <c r="I66" i="1"/>
  <c r="J66" i="1"/>
  <c r="F67" i="1"/>
  <c r="G67" i="1"/>
  <c r="H67" i="1"/>
  <c r="I67" i="1"/>
  <c r="J67" i="1"/>
  <c r="F69" i="1"/>
  <c r="G69" i="1"/>
  <c r="H69" i="1"/>
  <c r="I69" i="1"/>
  <c r="J69" i="1"/>
  <c r="F70" i="1"/>
  <c r="G70" i="1"/>
  <c r="H70" i="1"/>
  <c r="I70" i="1"/>
  <c r="J70" i="1"/>
  <c r="F72" i="1"/>
  <c r="G72" i="1"/>
  <c r="H72" i="1"/>
  <c r="I72" i="1"/>
  <c r="J72" i="1"/>
  <c r="F74" i="1"/>
  <c r="G74" i="1"/>
  <c r="H74" i="1"/>
  <c r="I74" i="1"/>
  <c r="J74" i="1"/>
  <c r="F76" i="1"/>
  <c r="G76" i="1"/>
  <c r="H76" i="1"/>
  <c r="I76" i="1"/>
  <c r="J76" i="1"/>
  <c r="C12" i="9"/>
  <c r="D12" i="9"/>
  <c r="E12" i="9"/>
  <c r="F12" i="9"/>
  <c r="H12" i="9"/>
  <c r="I12" i="9"/>
  <c r="J12" i="9"/>
  <c r="K12" i="9"/>
  <c r="M12" i="9"/>
  <c r="N12" i="9"/>
  <c r="O12" i="9"/>
  <c r="P12" i="9"/>
  <c r="R12" i="9"/>
  <c r="S12" i="9"/>
  <c r="T12" i="9"/>
  <c r="U12" i="9"/>
  <c r="W12" i="9"/>
  <c r="X12" i="9"/>
  <c r="Y12" i="9"/>
  <c r="Z12" i="9"/>
  <c r="C21" i="9"/>
  <c r="D21" i="9"/>
  <c r="E21" i="9"/>
  <c r="F21" i="9"/>
  <c r="H21" i="9"/>
  <c r="I21" i="9"/>
  <c r="J21" i="9"/>
  <c r="K21" i="9"/>
  <c r="M21" i="9"/>
  <c r="N21" i="9"/>
  <c r="O21" i="9"/>
  <c r="P21" i="9"/>
  <c r="R21" i="9"/>
  <c r="S21" i="9"/>
  <c r="T21" i="9"/>
  <c r="U21" i="9"/>
  <c r="W21" i="9"/>
  <c r="X21" i="9"/>
  <c r="Y21" i="9"/>
  <c r="Z21" i="9"/>
  <c r="C25" i="9"/>
  <c r="D25" i="9"/>
  <c r="E25" i="9"/>
  <c r="F25" i="9"/>
  <c r="H25" i="9"/>
  <c r="I25" i="9"/>
  <c r="J25" i="9"/>
  <c r="K25" i="9"/>
  <c r="M25" i="9"/>
  <c r="N25" i="9"/>
  <c r="O25" i="9"/>
  <c r="P25" i="9"/>
  <c r="R25" i="9"/>
  <c r="S25" i="9"/>
  <c r="T25" i="9"/>
  <c r="U25" i="9"/>
  <c r="W25" i="9"/>
  <c r="X25" i="9"/>
  <c r="Y25" i="9"/>
  <c r="Z25" i="9"/>
  <c r="C28" i="9"/>
  <c r="D28" i="9"/>
  <c r="E28" i="9"/>
  <c r="F28" i="9"/>
  <c r="H28" i="9"/>
  <c r="I28" i="9"/>
  <c r="J28" i="9"/>
  <c r="K28" i="9"/>
  <c r="M28" i="9"/>
  <c r="N28" i="9"/>
  <c r="O28" i="9"/>
  <c r="P28" i="9"/>
  <c r="R28" i="9"/>
  <c r="S28" i="9"/>
  <c r="T28" i="9"/>
  <c r="U28" i="9"/>
  <c r="W28" i="9"/>
  <c r="X28" i="9"/>
  <c r="Y28" i="9"/>
  <c r="Z28" i="9"/>
  <c r="C31" i="9"/>
  <c r="D31" i="9"/>
  <c r="E31" i="9"/>
  <c r="F31" i="9"/>
  <c r="H31" i="9"/>
  <c r="I31" i="9"/>
  <c r="J31" i="9"/>
  <c r="K31" i="9"/>
  <c r="M31" i="9"/>
  <c r="N31" i="9"/>
  <c r="O31" i="9"/>
  <c r="P31" i="9"/>
  <c r="R31" i="9"/>
  <c r="S31" i="9"/>
  <c r="T31" i="9"/>
  <c r="U31" i="9"/>
  <c r="W31" i="9"/>
  <c r="X31" i="9"/>
  <c r="Y31" i="9"/>
  <c r="Z31" i="9"/>
  <c r="C36" i="9"/>
  <c r="D36" i="9"/>
  <c r="E36" i="9"/>
  <c r="F36" i="9"/>
  <c r="H36" i="9"/>
  <c r="I36" i="9"/>
  <c r="J36" i="9"/>
  <c r="K36" i="9"/>
  <c r="M36" i="9"/>
  <c r="N36" i="9"/>
  <c r="O36" i="9"/>
  <c r="P36" i="9"/>
  <c r="R36" i="9"/>
  <c r="S36" i="9"/>
  <c r="T36" i="9"/>
  <c r="U36" i="9"/>
  <c r="W36" i="9"/>
  <c r="X36" i="9"/>
  <c r="Y36" i="9"/>
  <c r="Z36" i="9"/>
  <c r="C37" i="9"/>
  <c r="D37" i="9"/>
  <c r="E37" i="9"/>
  <c r="F37" i="9"/>
  <c r="H37" i="9"/>
  <c r="I37" i="9"/>
  <c r="J37" i="9"/>
  <c r="K37" i="9"/>
  <c r="M37" i="9"/>
  <c r="N37" i="9"/>
  <c r="O37" i="9"/>
  <c r="P37" i="9"/>
  <c r="R37" i="9"/>
  <c r="S37" i="9"/>
  <c r="T37" i="9"/>
  <c r="U37" i="9"/>
  <c r="W37" i="9"/>
  <c r="X37" i="9"/>
  <c r="Y37" i="9"/>
  <c r="Z37" i="9"/>
  <c r="C41" i="9"/>
  <c r="C43" i="9"/>
  <c r="D43" i="9"/>
  <c r="E43" i="9"/>
  <c r="F43" i="9"/>
  <c r="H43" i="9"/>
  <c r="I43" i="9"/>
  <c r="J43" i="9"/>
  <c r="K43" i="9"/>
  <c r="M43" i="9"/>
  <c r="N43" i="9"/>
  <c r="O43" i="9"/>
  <c r="P43" i="9"/>
  <c r="R43" i="9"/>
  <c r="U43" i="9"/>
  <c r="W43" i="9"/>
  <c r="X43" i="9"/>
  <c r="Y43" i="9"/>
  <c r="Z43" i="9"/>
  <c r="Y46" i="9"/>
  <c r="Z46" i="9"/>
  <c r="F48" i="9"/>
  <c r="K48" i="9"/>
  <c r="P48" i="9"/>
  <c r="U48" i="9"/>
  <c r="Z48" i="9"/>
  <c r="K51" i="9"/>
  <c r="P51" i="9"/>
  <c r="U51" i="9"/>
  <c r="Z51" i="9"/>
  <c r="F54" i="9"/>
  <c r="K54" i="9"/>
  <c r="P54" i="9"/>
  <c r="U54" i="9"/>
  <c r="Z54" i="9"/>
  <c r="F58" i="9"/>
  <c r="K58" i="9"/>
  <c r="P58" i="9"/>
  <c r="U58" i="9"/>
  <c r="Z58" i="9"/>
  <c r="F59" i="9"/>
  <c r="K59" i="9"/>
  <c r="P59" i="9"/>
  <c r="U59" i="9"/>
  <c r="Z59" i="9"/>
  <c r="F60" i="9"/>
  <c r="K60" i="9"/>
  <c r="P60" i="9"/>
  <c r="U60" i="9"/>
  <c r="Z60" i="9"/>
  <c r="F61" i="9"/>
  <c r="K61" i="9"/>
  <c r="P61" i="9"/>
  <c r="U61" i="9"/>
  <c r="Z61" i="9"/>
  <c r="K65" i="9"/>
  <c r="P65" i="9"/>
  <c r="U65" i="9"/>
  <c r="Z65" i="9"/>
  <c r="F66" i="9"/>
  <c r="K66" i="9"/>
  <c r="P66" i="9"/>
  <c r="U66" i="9"/>
  <c r="Z66" i="9"/>
  <c r="F67" i="9"/>
  <c r="K67" i="9"/>
  <c r="P67" i="9"/>
  <c r="U67" i="9"/>
  <c r="Z67" i="9"/>
  <c r="F68" i="9"/>
  <c r="K68" i="9"/>
  <c r="P68" i="9"/>
  <c r="U68" i="9"/>
  <c r="Z68" i="9"/>
  <c r="F70" i="9"/>
  <c r="K70" i="9"/>
  <c r="P70" i="9"/>
  <c r="U70" i="9"/>
  <c r="Z70" i="9"/>
</calcChain>
</file>

<file path=xl/sharedStrings.xml><?xml version="1.0" encoding="utf-8"?>
<sst xmlns="http://schemas.openxmlformats.org/spreadsheetml/2006/main" count="462" uniqueCount="315">
  <si>
    <t>Consolidated Income Statements</t>
  </si>
  <si>
    <t>Actual</t>
  </si>
  <si>
    <t>2017 A</t>
  </si>
  <si>
    <t>2018 A</t>
  </si>
  <si>
    <t>2019 A</t>
  </si>
  <si>
    <t>Revenue</t>
  </si>
  <si>
    <t>Cost of Goods Sold</t>
  </si>
  <si>
    <t>Gross Profit</t>
  </si>
  <si>
    <t>Selling and distribution expenses</t>
  </si>
  <si>
    <t>Net operating gains and (losses)</t>
  </si>
  <si>
    <t>(Impairment loss)/write-back on trade and intercompany receivables</t>
  </si>
  <si>
    <t>Investment Income</t>
  </si>
  <si>
    <t>Finance Cost</t>
  </si>
  <si>
    <t>Profit After Tax</t>
  </si>
  <si>
    <t>Net Income Tax Expense</t>
  </si>
  <si>
    <t>Profit from Continuing Operations</t>
  </si>
  <si>
    <t>Administrative expenses</t>
  </si>
  <si>
    <t>% Growth</t>
  </si>
  <si>
    <t>Total Revenue</t>
  </si>
  <si>
    <t>Y/Y Revenue Growth</t>
  </si>
  <si>
    <t>Total CoGS</t>
  </si>
  <si>
    <t>Total Selling &amp; Distribution Expenses</t>
  </si>
  <si>
    <t>Total Administrative Expenses</t>
  </si>
  <si>
    <t>Bad Debts</t>
  </si>
  <si>
    <t>CoGS as a % of Revenue</t>
  </si>
  <si>
    <t>Gross Profit Margin</t>
  </si>
  <si>
    <t>EBITDA</t>
  </si>
  <si>
    <t>Depreciation and Amortisation</t>
  </si>
  <si>
    <t>Total Depreciation and Amortisation</t>
  </si>
  <si>
    <t>Depreciation - CoGS</t>
  </si>
  <si>
    <t>EBIT</t>
  </si>
  <si>
    <t>Interests</t>
  </si>
  <si>
    <t>Net Interests</t>
  </si>
  <si>
    <t>EBT</t>
  </si>
  <si>
    <t>EBITDA Margin</t>
  </si>
  <si>
    <t>EBIT Margin</t>
  </si>
  <si>
    <t>EBT Margin</t>
  </si>
  <si>
    <t>Effective Tax Rate</t>
  </si>
  <si>
    <t>Profit (loss) attributable to :</t>
  </si>
  <si>
    <t>Discontinued Operations</t>
  </si>
  <si>
    <t>Owners of the Company</t>
  </si>
  <si>
    <t>Non-controlling interest</t>
  </si>
  <si>
    <t>% Non-controlling interest</t>
  </si>
  <si>
    <t>Basic</t>
  </si>
  <si>
    <t>Diluted</t>
  </si>
  <si>
    <t>Average Common shares Outstanding</t>
  </si>
  <si>
    <t xml:space="preserve">Period Ending March 31 </t>
  </si>
  <si>
    <r>
      <rPr>
        <b/>
        <sz val="14"/>
        <color theme="1"/>
        <rFont val="Calibri"/>
        <family val="2"/>
        <scheme val="minor"/>
      </rPr>
      <t>Consolidated Statements of Cash Flow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(in thousands of naira)</t>
    </r>
  </si>
  <si>
    <t>Cash Flow from Operating Activities</t>
  </si>
  <si>
    <t>Net Income</t>
  </si>
  <si>
    <t>Income (Loss) from Discountinued Operations</t>
  </si>
  <si>
    <t>Changes in working capital:</t>
  </si>
  <si>
    <t>Net cash (used in)/ generated from investing activities</t>
  </si>
  <si>
    <t>realised foreign exchange Loss</t>
  </si>
  <si>
    <t>Acquisition of Investment assets</t>
  </si>
  <si>
    <t>Assets</t>
  </si>
  <si>
    <t>Property, Plants &amp; Equipments</t>
  </si>
  <si>
    <t>Investment Property</t>
  </si>
  <si>
    <t>Goodwill</t>
  </si>
  <si>
    <t>Intangible assets</t>
  </si>
  <si>
    <t>Investment in subsidiaries</t>
  </si>
  <si>
    <t>Biological assets</t>
  </si>
  <si>
    <t>Defferred tax</t>
  </si>
  <si>
    <t>Long Term loans and receivables</t>
  </si>
  <si>
    <t>Other Investments</t>
  </si>
  <si>
    <t>Prepayments</t>
  </si>
  <si>
    <t>Non-Current Assets</t>
  </si>
  <si>
    <t>Inventories</t>
  </si>
  <si>
    <t>Trade and other receivables</t>
  </si>
  <si>
    <t>Derivatives assets</t>
  </si>
  <si>
    <t>Cash and cash equivalents</t>
  </si>
  <si>
    <t>Current assets</t>
  </si>
  <si>
    <t>TOTAL ASEETS</t>
  </si>
  <si>
    <t>Equity</t>
  </si>
  <si>
    <t>Share capital</t>
  </si>
  <si>
    <t>Share premium</t>
  </si>
  <si>
    <t>Fair value reserves</t>
  </si>
  <si>
    <t>Retained earnings</t>
  </si>
  <si>
    <t>Equity attributable to owners of the company</t>
  </si>
  <si>
    <t>Non-controlling interests</t>
  </si>
  <si>
    <t>Total Equity</t>
  </si>
  <si>
    <t>Liabilities</t>
  </si>
  <si>
    <t>Borrowings</t>
  </si>
  <si>
    <t>Retirement benefit obligation</t>
  </si>
  <si>
    <t>Long service award</t>
  </si>
  <si>
    <t>Deferred tax</t>
  </si>
  <si>
    <t>Deferred Income</t>
  </si>
  <si>
    <t>Non-Current Liabilities</t>
  </si>
  <si>
    <t>Bank overdrafts</t>
  </si>
  <si>
    <t>Trade and other payables</t>
  </si>
  <si>
    <t>Current tax payable</t>
  </si>
  <si>
    <t>Deferred income</t>
  </si>
  <si>
    <t>Divident payable</t>
  </si>
  <si>
    <t>Customer deposits</t>
  </si>
  <si>
    <t>Current Liabilites</t>
  </si>
  <si>
    <t>TOTAL LIABILITIES</t>
  </si>
  <si>
    <t>TOTAL EQUITY AND LIABILITIES</t>
  </si>
  <si>
    <t>error check</t>
  </si>
  <si>
    <t>Derivatives</t>
  </si>
  <si>
    <t>Sales of goods</t>
  </si>
  <si>
    <t>Rendering of services</t>
  </si>
  <si>
    <t>Cost of raw and packaging materials</t>
  </si>
  <si>
    <t>Production employee cost</t>
  </si>
  <si>
    <t>Fuel, gas and oil</t>
  </si>
  <si>
    <t>Factory rents and rates</t>
  </si>
  <si>
    <t>Factory repairs and maintenance</t>
  </si>
  <si>
    <t>Insurance</t>
  </si>
  <si>
    <t>Other production expenses</t>
  </si>
  <si>
    <t>Employee costs</t>
  </si>
  <si>
    <t>Advertisement</t>
  </si>
  <si>
    <t>Selling expenses</t>
  </si>
  <si>
    <t>Bank charges</t>
  </si>
  <si>
    <t>Legal and professional fees</t>
  </si>
  <si>
    <t>Salaries, wages and other staff costs</t>
  </si>
  <si>
    <t>Computer related expenses</t>
  </si>
  <si>
    <t>Medical, canteen and welfare expenses</t>
  </si>
  <si>
    <t>Motor vehicle expenses</t>
  </si>
  <si>
    <t>Non income taxes, fines &amp; penalties</t>
  </si>
  <si>
    <t>Auditors remuneration</t>
  </si>
  <si>
    <t>Postages, telephone and cables</t>
  </si>
  <si>
    <t>Printing and stationery</t>
  </si>
  <si>
    <t>Rent and rates</t>
  </si>
  <si>
    <t>Repairs and maintenance</t>
  </si>
  <si>
    <t>Subscriptions and donations</t>
  </si>
  <si>
    <t>Security services</t>
  </si>
  <si>
    <t>Travelling expenses</t>
  </si>
  <si>
    <t>General administrative expenses</t>
  </si>
  <si>
    <t>Depreciation and amortisation</t>
  </si>
  <si>
    <r>
      <rPr>
        <b/>
        <sz val="11"/>
        <rFont val="Calibri"/>
        <family val="2"/>
        <scheme val="minor"/>
      </rPr>
      <t xml:space="preserve">Adjustments for:
</t>
    </r>
    <r>
      <rPr>
        <sz val="11"/>
        <rFont val="Calibri"/>
        <family val="2"/>
        <scheme val="minor"/>
      </rPr>
      <t>Depreciation of property, plant and equipment</t>
    </r>
  </si>
  <si>
    <t>Amortisation of intangible assets</t>
  </si>
  <si>
    <t>Depreciation of investment property</t>
  </si>
  <si>
    <t>(Gain)/loss on disposal of property, plant and equipment</t>
  </si>
  <si>
    <t>Impairment - investments in subsidiary</t>
  </si>
  <si>
    <t>Impairment - long term and trade receivables</t>
  </si>
  <si>
    <t>Investment income</t>
  </si>
  <si>
    <t>Finance costs</t>
  </si>
  <si>
    <t>Impairment/(Reversal of impairment) loss on property,plant</t>
  </si>
  <si>
    <r>
      <rPr>
        <sz val="11"/>
        <rFont val="Calibri"/>
        <family val="2"/>
        <scheme val="minor"/>
      </rPr>
      <t>and equipment
Write-off of property, plant and equipment</t>
    </r>
  </si>
  <si>
    <t>Fair value changes in biological assets</t>
  </si>
  <si>
    <t>Impairment loss on biological assets</t>
  </si>
  <si>
    <t>Net loss/(gain) on foreign currency exchange transactions</t>
  </si>
  <si>
    <t>Derivative gain on forwards and futures</t>
  </si>
  <si>
    <t>Provision for long service award</t>
  </si>
  <si>
    <t>Provision for retirement benefit</t>
  </si>
  <si>
    <t>Income tax charge/(credit)</t>
  </si>
  <si>
    <t>Prepayments and deposits for imports</t>
  </si>
  <si>
    <t>Long term receivables</t>
  </si>
  <si>
    <t>Derivative assets</t>
  </si>
  <si>
    <t>Income tax paid</t>
  </si>
  <si>
    <t>Long service award benefit paid</t>
  </si>
  <si>
    <t>Retirement benefit paid</t>
  </si>
  <si>
    <t>Net cash generated from/(used in) operating activities</t>
  </si>
  <si>
    <t>Cash flow from investing activities</t>
  </si>
  <si>
    <t>Acquisition of property, plant and equipment</t>
  </si>
  <si>
    <r>
      <rPr>
        <sz val="11"/>
        <rFont val="Calibri"/>
        <family val="2"/>
        <scheme val="minor"/>
      </rPr>
      <t>Proceeds from sale of property, plant and
equipment</t>
    </r>
  </si>
  <si>
    <t>Acquisition of intangible assets</t>
  </si>
  <si>
    <t>Purchase of biological assets</t>
  </si>
  <si>
    <t>Loans granted to related companies</t>
  </si>
  <si>
    <t>Loan repayments from related companies</t>
  </si>
  <si>
    <t>Finance Income</t>
  </si>
  <si>
    <t>Dividend received</t>
  </si>
  <si>
    <t>Cash flow from financing activities</t>
  </si>
  <si>
    <t>Proceeds on share issue</t>
  </si>
  <si>
    <t>Proceeds from borrowings</t>
  </si>
  <si>
    <t>Consideration paid for acquisition of NCI</t>
  </si>
  <si>
    <t>Additional investment by NCI</t>
  </si>
  <si>
    <t>Dividends paid</t>
  </si>
  <si>
    <t>Unclaimed dividend received</t>
  </si>
  <si>
    <t>Finance costs paid</t>
  </si>
  <si>
    <t>Net cash from financing activities</t>
  </si>
  <si>
    <t>Net increase in cash and cash equivalents</t>
  </si>
  <si>
    <t>Cash and cash equivalent at the beginning of the year</t>
  </si>
  <si>
    <t>Effect of exchange difference</t>
  </si>
  <si>
    <t>Cash and cash equivalents at 31 March</t>
  </si>
  <si>
    <t>2020 P</t>
  </si>
  <si>
    <t>2021 P</t>
  </si>
  <si>
    <t>2022 P</t>
  </si>
  <si>
    <t>2023 P</t>
  </si>
  <si>
    <t>2024 P</t>
  </si>
  <si>
    <t>CAPEX as a percentage of Revenue</t>
  </si>
  <si>
    <r>
      <rPr>
        <b/>
        <sz val="14"/>
        <color theme="1"/>
        <rFont val="Calibri"/>
        <family val="2"/>
        <scheme val="minor"/>
      </rPr>
      <t>Depreciation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(in thousands of naira)</t>
    </r>
  </si>
  <si>
    <t>PROJECTED</t>
  </si>
  <si>
    <t>Property, Plant &amp; Equipment (Opening)</t>
  </si>
  <si>
    <t>Capital Expenditures (Opening)</t>
  </si>
  <si>
    <t>Useful Life</t>
  </si>
  <si>
    <t>PPE</t>
  </si>
  <si>
    <t>CAPEX</t>
  </si>
  <si>
    <t>Depreciation</t>
  </si>
  <si>
    <t>CAPEX 2020</t>
  </si>
  <si>
    <t>CAPEX 2021</t>
  </si>
  <si>
    <t>CAPEX 2022</t>
  </si>
  <si>
    <t>CAPEX 2023</t>
  </si>
  <si>
    <t>CAPEX 2024</t>
  </si>
  <si>
    <t>Existing PPE</t>
  </si>
  <si>
    <t>Total Depreciation</t>
  </si>
  <si>
    <t>Total Selling, Districubtution &amp; Administrative Expenses</t>
  </si>
  <si>
    <t>Days Prepaid</t>
  </si>
  <si>
    <t xml:space="preserve">On March 31 </t>
  </si>
  <si>
    <t>ACTUAL</t>
  </si>
  <si>
    <t>Current Assets</t>
  </si>
  <si>
    <r>
      <t xml:space="preserve">Operating Working Capital </t>
    </r>
    <r>
      <rPr>
        <b/>
        <i/>
        <sz val="11"/>
        <color theme="1"/>
        <rFont val="Calibri"/>
        <family val="2"/>
        <scheme val="minor"/>
      </rPr>
      <t>(in thousands of naira)</t>
    </r>
  </si>
  <si>
    <t>Total Current Assets</t>
  </si>
  <si>
    <t>Current Liabilities</t>
  </si>
  <si>
    <t>Total Current Liabilities</t>
  </si>
  <si>
    <t>Total Operting Working Capital</t>
  </si>
  <si>
    <t>Inventory Turnover days</t>
  </si>
  <si>
    <t>Receivanble Days</t>
  </si>
  <si>
    <t>Account Payable Days</t>
  </si>
  <si>
    <t>Tax Payable Days</t>
  </si>
  <si>
    <t>PROJECTIONS</t>
  </si>
  <si>
    <t>Net Book Value</t>
  </si>
  <si>
    <t>Total PPE &amp; CAPEX (Cost)</t>
  </si>
  <si>
    <t>Dividend per share</t>
  </si>
  <si>
    <t>Earnings per Share (EPS) (in naira)</t>
  </si>
  <si>
    <t>Opening</t>
  </si>
  <si>
    <t>Addition</t>
  </si>
  <si>
    <t>FV gain</t>
  </si>
  <si>
    <t>fv loss on remeasurement</t>
  </si>
  <si>
    <t>Harvest dusting the year</t>
  </si>
  <si>
    <t>Impariment loss</t>
  </si>
  <si>
    <t>Closing</t>
  </si>
  <si>
    <t>Biological Assets</t>
  </si>
  <si>
    <t>Current</t>
  </si>
  <si>
    <t>Non Current</t>
  </si>
  <si>
    <t>Total Value before harvest</t>
  </si>
  <si>
    <t>Proportion of value harvested</t>
  </si>
  <si>
    <t>Intangible Assets</t>
  </si>
  <si>
    <t>Existing Intangibles</t>
  </si>
  <si>
    <t>Cash and cash equivalents per statement of financial position</t>
  </si>
  <si>
    <t>Bank overdraft</t>
  </si>
  <si>
    <r>
      <rPr>
        <b/>
        <sz val="14"/>
        <color theme="1"/>
        <rFont val="Calibri"/>
        <family val="2"/>
        <scheme val="minor"/>
      </rPr>
      <t>Dividends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(in thousands of naira)</t>
    </r>
  </si>
  <si>
    <t>Declared for the Year</t>
  </si>
  <si>
    <t>payment for the year</t>
  </si>
  <si>
    <t>Unclaimed Dividends transferred to reserve</t>
  </si>
  <si>
    <t>Unclaimed Dividends transferred to Registrar</t>
  </si>
  <si>
    <t>Cash available to pay down debts</t>
  </si>
  <si>
    <t>Cash at the beginning of the year</t>
  </si>
  <si>
    <t>Cashflow before debt paydown</t>
  </si>
  <si>
    <t>Minimum cash cushion</t>
  </si>
  <si>
    <t>Total Cash available to paydown debt</t>
  </si>
  <si>
    <t>Short Term Borrowings</t>
  </si>
  <si>
    <t>Short term borrowing (beginning of the year)</t>
  </si>
  <si>
    <t>Non mandatory retirements</t>
  </si>
  <si>
    <t>Short term borrowing (end of the year)</t>
  </si>
  <si>
    <t>Long Term Borrowings</t>
  </si>
  <si>
    <t>Long term borrowing (beginning of the year)</t>
  </si>
  <si>
    <t>Long term borrowing (end of the year)</t>
  </si>
  <si>
    <t>Short term interest expense</t>
  </si>
  <si>
    <t>Interest rate</t>
  </si>
  <si>
    <t>Short term Interest rate</t>
  </si>
  <si>
    <t>Long term Interest rate</t>
  </si>
  <si>
    <t>Long term interest expense</t>
  </si>
  <si>
    <t>Total Interest expenses</t>
  </si>
  <si>
    <t>Cash at the end of the year</t>
  </si>
  <si>
    <t>Interest Income</t>
  </si>
  <si>
    <r>
      <rPr>
        <b/>
        <sz val="14"/>
        <color theme="1"/>
        <rFont val="Calibri"/>
        <family val="2"/>
        <scheme val="minor"/>
      </rPr>
      <t>Consolidated Statements of Financial Position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(in thousands of naira)</t>
    </r>
  </si>
  <si>
    <r>
      <t>Mandatory Issuance</t>
    </r>
    <r>
      <rPr>
        <sz val="11"/>
        <color rgb="FFFF0000"/>
        <rFont val="Calibri"/>
        <family val="2"/>
        <scheme val="minor"/>
      </rPr>
      <t>(retirement)</t>
    </r>
  </si>
  <si>
    <t>[2020 - 2024]</t>
  </si>
  <si>
    <t>Financial and Valuation Model</t>
  </si>
  <si>
    <t>Flour Mills of  Nigeria PLC</t>
  </si>
  <si>
    <r>
      <t xml:space="preserve">Period Ending March 31 </t>
    </r>
    <r>
      <rPr>
        <sz val="9"/>
        <color theme="1"/>
        <rFont val="Calibri"/>
        <family val="2"/>
        <scheme val="minor"/>
      </rPr>
      <t>(in thousands of naira)</t>
    </r>
  </si>
  <si>
    <t>Selling &amp; Dist expense as perc. Of Revenue</t>
  </si>
  <si>
    <t>Admin Expenses as a percemtage of Revenue</t>
  </si>
  <si>
    <t>Cash Flow before debt paydown</t>
  </si>
  <si>
    <t>Cash and Overdraft reconcilitions</t>
  </si>
  <si>
    <r>
      <t>Total Issuance/(</t>
    </r>
    <r>
      <rPr>
        <sz val="11"/>
        <color rgb="FFFF0000"/>
        <rFont val="Calibri"/>
        <family val="2"/>
        <scheme val="minor"/>
      </rPr>
      <t>Retirements)</t>
    </r>
  </si>
  <si>
    <t>Net Changes to Working Capital</t>
  </si>
  <si>
    <t>Capital Allowance Computation</t>
  </si>
  <si>
    <t>Initial Allowance</t>
  </si>
  <si>
    <t>Annual allowance (existing PPE)</t>
  </si>
  <si>
    <t>Annual Allowance (CAPEX)</t>
  </si>
  <si>
    <t>CAPEX 2020 - annual allwce</t>
  </si>
  <si>
    <t>CAPEX 2020 - initial allwce</t>
  </si>
  <si>
    <t>CAPEX 2021 - initial allwce</t>
  </si>
  <si>
    <t>CAPEX 2021 - annual allwce</t>
  </si>
  <si>
    <t>CAPEX 2022 - initial allwce</t>
  </si>
  <si>
    <t>CAPEX 2022 - annual allwce</t>
  </si>
  <si>
    <t>CAPEX 2023 - initial allwce</t>
  </si>
  <si>
    <t>CAPEX 2023 - annual allwce</t>
  </si>
  <si>
    <t>CAPEX 2024 - initial allwce</t>
  </si>
  <si>
    <t>CAPEX 2024 - annual allwce</t>
  </si>
  <si>
    <t>Total Capital Allowance</t>
  </si>
  <si>
    <t>TAX BASE</t>
  </si>
  <si>
    <t>Land &amp; Building</t>
  </si>
  <si>
    <t>Plant &amp; Mach</t>
  </si>
  <si>
    <t>F/E</t>
  </si>
  <si>
    <t>Vehicles</t>
  </si>
  <si>
    <t>Bear Plants</t>
  </si>
  <si>
    <t>Berth</t>
  </si>
  <si>
    <t>CWIP</t>
  </si>
  <si>
    <t>Net Carrying value</t>
  </si>
  <si>
    <t>Outstanding Ann. Allwce</t>
  </si>
  <si>
    <t>Total</t>
  </si>
  <si>
    <r>
      <rPr>
        <b/>
        <sz val="14"/>
        <color theme="1"/>
        <rFont val="Calibri"/>
        <family val="2"/>
        <scheme val="minor"/>
      </rPr>
      <t>Debt Schedule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(in thousands of naira)</t>
    </r>
  </si>
  <si>
    <t xml:space="preserve">Repayment of borrowings - Non Current </t>
  </si>
  <si>
    <t xml:space="preserve">Repayment of borrowings - Current </t>
  </si>
  <si>
    <t>Carrying Amount</t>
  </si>
  <si>
    <t>Tax Base</t>
  </si>
  <si>
    <t>TOTAL</t>
  </si>
  <si>
    <t>Temp. Diff</t>
  </si>
  <si>
    <t>DTA/(DTL)</t>
  </si>
  <si>
    <t>Tax Loss Carried Forward</t>
  </si>
  <si>
    <t>Net Deferred Tax Asset/(Liabilities) - Opening</t>
  </si>
  <si>
    <t>Net Deferred Tax Asset/(Liabilities) - Closing</t>
  </si>
  <si>
    <t>Difference - Charged to Income Statement</t>
  </si>
  <si>
    <t>Tax Rate</t>
  </si>
  <si>
    <t>PBT</t>
  </si>
  <si>
    <t>Chrge for the year</t>
  </si>
  <si>
    <t>.+/- DTA(L)</t>
  </si>
  <si>
    <t>As per IS (Current tax expense)</t>
  </si>
  <si>
    <t>Current Tax Payable</t>
  </si>
  <si>
    <t>charge for the year</t>
  </si>
  <si>
    <t>Tax Payment</t>
  </si>
  <si>
    <t>TEMPORARY DIFFERENCE</t>
  </si>
  <si>
    <t>DEFERRED TAX LIABILITY/(ASSETS)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</si>
</sst>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[Red]\-#,##0\ "/>
    <numFmt numFmtId="167" formatCode="[$₦-46A]\ #,##0;\-[$₦-46A]\ #,##0"/>
    <numFmt numFmtId="168" formatCode="[$₦-468]\ #,##0;[Red][$₦-468]\ \-#,##0"/>
    <numFmt numFmtId="169" formatCode="[$₦-466]\ #,##0_ ;[Red]\-[$₦-466]\ #,##0\ "/>
    <numFmt numFmtId="170" formatCode="[$₦-467]\ #,##0_ ;[Red]\-[$₦-467]\ #,##0\ "/>
    <numFmt numFmtId="171" formatCode="[$₦-469]\ #,##0_ ;\-[$₦-469]\ #,##0\ "/>
    <numFmt numFmtId="172" formatCode="[$₦-469]\ #,##0.00_ ;\-[$₦-469]\ #,##0.00\ "/>
    <numFmt numFmtId="173" formatCode="[$₦-469]\ #,##0_ ;[Red]\-[$₦-469]\ #,##0\ "/>
    <numFmt numFmtId="174" formatCode="[$₦-466]\ #,##0.0000_ ;[Red]\-[$₦-466]\ #,##0.0000\ "/>
    <numFmt numFmtId="175" formatCode="[$₦-470]\ #,##0"/>
    <numFmt numFmtId="176" formatCode="[$₦-468]\ #,##0"/>
    <numFmt numFmtId="177" formatCode="[$₦-470]\ #,##0.00"/>
    <numFmt numFmtId="178" formatCode="[$₦-469]\ #,##0"/>
    <numFmt numFmtId="179" formatCode="[$₦-469]\ #,##0.00_ ;[Red]\-[$₦-469]\ #,##0.00\ "/>
    <numFmt numFmtId="180" formatCode="[$₦-469]\ #,##0.0_ ;[Red]\-[$₦-469]\ #,##0.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26"/>
      <color theme="3"/>
      <name val="Calibri Light"/>
      <family val="2"/>
      <scheme val="major"/>
    </font>
    <font>
      <b/>
      <sz val="36"/>
      <color theme="3"/>
      <name val="Calibri Light"/>
      <family val="2"/>
      <scheme val="major"/>
    </font>
    <font>
      <b/>
      <sz val="14"/>
      <color theme="3"/>
      <name val="Calibri Light"/>
      <family val="2"/>
      <scheme val="maj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Trebuchet MS"/>
      <family val="2"/>
    </font>
    <font>
      <u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auto="1"/>
      </bottom>
      <diagonal/>
    </border>
    <border>
      <left/>
      <right/>
      <top style="thin">
        <color theme="0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9" borderId="22" applyNumberFormat="0" applyAlignment="0" applyProtection="0"/>
  </cellStyleXfs>
  <cellXfs count="232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/>
    <xf numFmtId="164" fontId="0" fillId="2" borderId="0" xfId="1" applyNumberFormat="1" applyFont="1" applyFill="1"/>
    <xf numFmtId="164" fontId="2" fillId="2" borderId="0" xfId="1" applyNumberFormat="1" applyFont="1" applyFill="1"/>
    <xf numFmtId="0" fontId="2" fillId="2" borderId="0" xfId="0" applyFont="1" applyFill="1" applyBorder="1"/>
    <xf numFmtId="164" fontId="2" fillId="2" borderId="0" xfId="1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2" applyNumberFormat="1" applyFont="1" applyFill="1"/>
    <xf numFmtId="164" fontId="2" fillId="2" borderId="3" xfId="1" applyNumberFormat="1" applyFont="1" applyFill="1" applyBorder="1"/>
    <xf numFmtId="166" fontId="0" fillId="2" borderId="0" xfId="1" applyNumberFormat="1" applyFont="1" applyFill="1" applyAlignment="1">
      <alignment horizontal="right"/>
    </xf>
    <xf numFmtId="166" fontId="2" fillId="2" borderId="2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9" fontId="0" fillId="2" borderId="0" xfId="2" applyFont="1" applyFill="1"/>
    <xf numFmtId="170" fontId="0" fillId="2" borderId="0" xfId="1" applyNumberFormat="1" applyFont="1" applyFill="1" applyAlignment="1">
      <alignment horizontal="right"/>
    </xf>
    <xf numFmtId="170" fontId="2" fillId="2" borderId="2" xfId="1" applyNumberFormat="1" applyFont="1" applyFill="1" applyBorder="1" applyAlignment="1">
      <alignment horizontal="right"/>
    </xf>
    <xf numFmtId="170" fontId="0" fillId="2" borderId="0" xfId="0" applyNumberFormat="1" applyFill="1"/>
    <xf numFmtId="167" fontId="0" fillId="2" borderId="0" xfId="1" applyNumberFormat="1" applyFont="1" applyFill="1"/>
    <xf numFmtId="170" fontId="2" fillId="2" borderId="4" xfId="0" applyNumberFormat="1" applyFont="1" applyFill="1" applyBorder="1"/>
    <xf numFmtId="167" fontId="2" fillId="2" borderId="4" xfId="0" applyNumberFormat="1" applyFont="1" applyFill="1" applyBorder="1"/>
    <xf numFmtId="170" fontId="0" fillId="2" borderId="0" xfId="1" applyNumberFormat="1" applyFont="1" applyFill="1"/>
    <xf numFmtId="170" fontId="2" fillId="2" borderId="4" xfId="1" applyNumberFormat="1" applyFont="1" applyFill="1" applyBorder="1"/>
    <xf numFmtId="170" fontId="2" fillId="2" borderId="6" xfId="1" applyNumberFormat="1" applyFont="1" applyFill="1" applyBorder="1"/>
    <xf numFmtId="167" fontId="2" fillId="2" borderId="6" xfId="1" applyNumberFormat="1" applyFont="1" applyFill="1" applyBorder="1"/>
    <xf numFmtId="167" fontId="2" fillId="2" borderId="1" xfId="0" applyNumberFormat="1" applyFont="1" applyFill="1" applyBorder="1"/>
    <xf numFmtId="168" fontId="0" fillId="2" borderId="0" xfId="1" applyNumberFormat="1" applyFont="1" applyFill="1"/>
    <xf numFmtId="168" fontId="2" fillId="2" borderId="0" xfId="1" applyNumberFormat="1" applyFont="1" applyFill="1"/>
    <xf numFmtId="168" fontId="0" fillId="2" borderId="0" xfId="0" applyNumberFormat="1" applyFill="1"/>
    <xf numFmtId="169" fontId="0" fillId="2" borderId="0" xfId="0" applyNumberFormat="1" applyFill="1"/>
    <xf numFmtId="169" fontId="2" fillId="2" borderId="0" xfId="0" applyNumberFormat="1" applyFont="1" applyFill="1"/>
    <xf numFmtId="169" fontId="2" fillId="2" borderId="5" xfId="0" applyNumberFormat="1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ont="1" applyFill="1"/>
    <xf numFmtId="164" fontId="0" fillId="2" borderId="0" xfId="0" applyNumberFormat="1" applyFont="1" applyFill="1"/>
    <xf numFmtId="3" fontId="0" fillId="2" borderId="0" xfId="0" applyNumberFormat="1" applyFont="1" applyFill="1"/>
    <xf numFmtId="0" fontId="0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165" fontId="2" fillId="2" borderId="0" xfId="2" applyNumberFormat="1" applyFont="1" applyFill="1"/>
    <xf numFmtId="0" fontId="2" fillId="0" borderId="0" xfId="0" applyFont="1"/>
    <xf numFmtId="171" fontId="0" fillId="0" borderId="0" xfId="1" applyNumberFormat="1" applyFont="1"/>
    <xf numFmtId="171" fontId="0" fillId="0" borderId="0" xfId="0" applyNumberFormat="1"/>
    <xf numFmtId="172" fontId="0" fillId="0" borderId="0" xfId="0" applyNumberFormat="1"/>
    <xf numFmtId="171" fontId="2" fillId="0" borderId="0" xfId="0" applyNumberFormat="1" applyFont="1"/>
    <xf numFmtId="9" fontId="0" fillId="0" borderId="0" xfId="2" applyFont="1"/>
    <xf numFmtId="168" fontId="0" fillId="2" borderId="0" xfId="1" applyNumberFormat="1" applyFont="1" applyFill="1" applyAlignment="1">
      <alignment horizontal="right"/>
    </xf>
    <xf numFmtId="168" fontId="2" fillId="2" borderId="2" xfId="1" applyNumberFormat="1" applyFont="1" applyFill="1" applyBorder="1" applyAlignment="1">
      <alignment horizontal="right"/>
    </xf>
    <xf numFmtId="168" fontId="0" fillId="0" borderId="0" xfId="1" applyNumberFormat="1" applyFont="1"/>
    <xf numFmtId="168" fontId="0" fillId="0" borderId="0" xfId="0" applyNumberFormat="1"/>
    <xf numFmtId="168" fontId="2" fillId="0" borderId="6" xfId="1" applyNumberFormat="1" applyFont="1" applyBorder="1"/>
    <xf numFmtId="168" fontId="0" fillId="0" borderId="6" xfId="1" applyNumberFormat="1" applyFont="1" applyBorder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1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1" fillId="2" borderId="0" xfId="3" applyFill="1" applyAlignment="1">
      <alignment horizontal="right"/>
    </xf>
    <xf numFmtId="1" fontId="11" fillId="2" borderId="0" xfId="3" applyNumberFormat="1" applyFill="1"/>
    <xf numFmtId="167" fontId="0" fillId="2" borderId="0" xfId="0" applyNumberFormat="1" applyFill="1"/>
    <xf numFmtId="164" fontId="11" fillId="2" borderId="0" xfId="1" applyNumberFormat="1" applyFont="1" applyFill="1"/>
    <xf numFmtId="0" fontId="0" fillId="0" borderId="0" xfId="0" applyFont="1"/>
    <xf numFmtId="171" fontId="0" fillId="0" borderId="7" xfId="0" applyNumberFormat="1" applyBorder="1"/>
    <xf numFmtId="171" fontId="2" fillId="0" borderId="6" xfId="0" applyNumberFormat="1" applyFont="1" applyBorder="1"/>
    <xf numFmtId="0" fontId="0" fillId="0" borderId="6" xfId="0" applyBorder="1"/>
    <xf numFmtId="165" fontId="0" fillId="0" borderId="0" xfId="2" applyNumberFormat="1" applyFont="1"/>
    <xf numFmtId="43" fontId="0" fillId="2" borderId="0" xfId="1" applyNumberFormat="1" applyFont="1" applyFill="1"/>
    <xf numFmtId="43" fontId="6" fillId="2" borderId="0" xfId="1" applyFont="1" applyFill="1" applyBorder="1" applyAlignment="1">
      <alignment horizontal="right" vertical="top"/>
    </xf>
    <xf numFmtId="43" fontId="3" fillId="2" borderId="0" xfId="1" applyFont="1" applyFill="1" applyAlignment="1">
      <alignment horizontal="right"/>
    </xf>
    <xf numFmtId="3" fontId="0" fillId="0" borderId="0" xfId="0" applyNumberFormat="1"/>
    <xf numFmtId="173" fontId="0" fillId="0" borderId="0" xfId="0" applyNumberFormat="1"/>
    <xf numFmtId="0" fontId="2" fillId="0" borderId="6" xfId="0" applyFont="1" applyBorder="1"/>
    <xf numFmtId="3" fontId="2" fillId="0" borderId="6" xfId="0" applyNumberFormat="1" applyFont="1" applyBorder="1"/>
    <xf numFmtId="0" fontId="13" fillId="0" borderId="0" xfId="0" applyFont="1" applyAlignment="1">
      <alignment horizontal="right"/>
    </xf>
    <xf numFmtId="173" fontId="0" fillId="0" borderId="7" xfId="0" applyNumberFormat="1" applyBorder="1"/>
    <xf numFmtId="164" fontId="0" fillId="0" borderId="0" xfId="1" applyNumberFormat="1" applyFont="1"/>
    <xf numFmtId="164" fontId="11" fillId="2" borderId="0" xfId="3" applyNumberFormat="1" applyFill="1"/>
    <xf numFmtId="0" fontId="0" fillId="0" borderId="8" xfId="0" applyBorder="1"/>
    <xf numFmtId="173" fontId="0" fillId="0" borderId="6" xfId="0" applyNumberFormat="1" applyBorder="1"/>
    <xf numFmtId="173" fontId="0" fillId="0" borderId="9" xfId="0" applyNumberFormat="1" applyBorder="1"/>
    <xf numFmtId="0" fontId="0" fillId="0" borderId="10" xfId="0" applyBorder="1"/>
    <xf numFmtId="0" fontId="0" fillId="0" borderId="0" xfId="0" applyBorder="1"/>
    <xf numFmtId="0" fontId="2" fillId="0" borderId="10" xfId="0" applyFont="1" applyBorder="1"/>
    <xf numFmtId="0" fontId="2" fillId="0" borderId="0" xfId="0" applyFont="1" applyBorder="1"/>
    <xf numFmtId="173" fontId="2" fillId="0" borderId="0" xfId="0" applyNumberFormat="1" applyFont="1" applyBorder="1"/>
    <xf numFmtId="173" fontId="2" fillId="0" borderId="12" xfId="0" applyNumberFormat="1" applyFont="1" applyBorder="1"/>
    <xf numFmtId="173" fontId="0" fillId="0" borderId="0" xfId="0" applyNumberFormat="1" applyBorder="1"/>
    <xf numFmtId="173" fontId="0" fillId="0" borderId="12" xfId="0" applyNumberFormat="1" applyBorder="1"/>
    <xf numFmtId="0" fontId="13" fillId="0" borderId="1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0" fontId="13" fillId="0" borderId="0" xfId="2" applyNumberFormat="1" applyFont="1" applyBorder="1" applyAlignment="1">
      <alignment horizontal="right"/>
    </xf>
    <xf numFmtId="10" fontId="13" fillId="0" borderId="12" xfId="2" applyNumberFormat="1" applyFont="1" applyBorder="1" applyAlignment="1">
      <alignment horizontal="right"/>
    </xf>
    <xf numFmtId="0" fontId="0" fillId="0" borderId="12" xfId="0" applyBorder="1"/>
    <xf numFmtId="3" fontId="0" fillId="0" borderId="0" xfId="0" applyNumberFormat="1" applyBorder="1"/>
    <xf numFmtId="3" fontId="2" fillId="0" borderId="9" xfId="0" applyNumberFormat="1" applyFont="1" applyBorder="1"/>
    <xf numFmtId="0" fontId="0" fillId="0" borderId="13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/>
    <xf numFmtId="166" fontId="0" fillId="2" borderId="7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center"/>
    </xf>
    <xf numFmtId="170" fontId="2" fillId="2" borderId="1" xfId="1" applyNumberFormat="1" applyFont="1" applyFill="1" applyBorder="1" applyAlignment="1">
      <alignment horizontal="right"/>
    </xf>
    <xf numFmtId="169" fontId="2" fillId="0" borderId="0" xfId="0" applyNumberFormat="1" applyFont="1"/>
    <xf numFmtId="169" fontId="0" fillId="0" borderId="0" xfId="0" applyNumberFormat="1"/>
    <xf numFmtId="169" fontId="2" fillId="0" borderId="3" xfId="0" applyNumberFormat="1" applyFont="1" applyBorder="1"/>
    <xf numFmtId="164" fontId="0" fillId="2" borderId="0" xfId="0" applyNumberFormat="1" applyFill="1"/>
    <xf numFmtId="166" fontId="0" fillId="2" borderId="0" xfId="0" applyNumberFormat="1" applyFont="1" applyFill="1"/>
    <xf numFmtId="166" fontId="2" fillId="2" borderId="1" xfId="1" applyNumberFormat="1" applyFont="1" applyFill="1" applyBorder="1" applyAlignment="1">
      <alignment horizontal="right"/>
    </xf>
    <xf numFmtId="0" fontId="3" fillId="0" borderId="0" xfId="0" applyFont="1"/>
    <xf numFmtId="38" fontId="0" fillId="0" borderId="0" xfId="0" applyNumberFormat="1"/>
    <xf numFmtId="38" fontId="0" fillId="0" borderId="7" xfId="0" applyNumberFormat="1" applyBorder="1"/>
    <xf numFmtId="38" fontId="2" fillId="0" borderId="0" xfId="0" applyNumberFormat="1" applyFont="1" applyBorder="1"/>
    <xf numFmtId="38" fontId="2" fillId="0" borderId="0" xfId="0" applyNumberFormat="1" applyFont="1"/>
    <xf numFmtId="0" fontId="19" fillId="2" borderId="0" xfId="0" applyFont="1" applyFill="1"/>
    <xf numFmtId="164" fontId="19" fillId="2" borderId="0" xfId="1" applyNumberFormat="1" applyFont="1" applyFill="1"/>
    <xf numFmtId="0" fontId="20" fillId="2" borderId="0" xfId="0" applyFont="1" applyFill="1"/>
    <xf numFmtId="0" fontId="21" fillId="2" borderId="0" xfId="0" applyFont="1" applyFill="1"/>
    <xf numFmtId="0" fontId="21" fillId="0" borderId="0" xfId="0" applyFont="1"/>
    <xf numFmtId="169" fontId="2" fillId="2" borderId="20" xfId="0" applyNumberFormat="1" applyFont="1" applyFill="1" applyBorder="1"/>
    <xf numFmtId="169" fontId="2" fillId="2" borderId="3" xfId="0" applyNumberFormat="1" applyFont="1" applyFill="1" applyBorder="1"/>
    <xf numFmtId="0" fontId="22" fillId="2" borderId="1" xfId="0" applyFont="1" applyFill="1" applyBorder="1"/>
    <xf numFmtId="0" fontId="23" fillId="2" borderId="0" xfId="0" applyFont="1" applyFill="1"/>
    <xf numFmtId="0" fontId="13" fillId="2" borderId="0" xfId="0" applyFont="1" applyFill="1" applyAlignment="1">
      <alignment horizontal="right"/>
    </xf>
    <xf numFmtId="9" fontId="13" fillId="2" borderId="0" xfId="2" applyFont="1" applyFill="1" applyAlignment="1">
      <alignment horizontal="right"/>
    </xf>
    <xf numFmtId="10" fontId="13" fillId="2" borderId="0" xfId="2" applyNumberFormat="1" applyFont="1" applyFill="1" applyAlignment="1">
      <alignment horizontal="right"/>
    </xf>
    <xf numFmtId="165" fontId="13" fillId="2" borderId="0" xfId="2" applyNumberFormat="1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4" fillId="2" borderId="0" xfId="0" applyFont="1" applyFill="1"/>
    <xf numFmtId="0" fontId="25" fillId="2" borderId="0" xfId="0" applyFont="1" applyFill="1" applyBorder="1" applyAlignment="1">
      <alignment horizontal="right" vertical="top" wrapText="1"/>
    </xf>
    <xf numFmtId="164" fontId="13" fillId="2" borderId="0" xfId="1" applyNumberFormat="1" applyFont="1" applyFill="1" applyAlignment="1">
      <alignment horizontal="right"/>
    </xf>
    <xf numFmtId="0" fontId="26" fillId="2" borderId="0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vertical="top"/>
    </xf>
    <xf numFmtId="3" fontId="0" fillId="2" borderId="0" xfId="0" applyNumberFormat="1" applyFill="1"/>
    <xf numFmtId="3" fontId="0" fillId="2" borderId="7" xfId="0" applyNumberFormat="1" applyFill="1" applyBorder="1"/>
    <xf numFmtId="9" fontId="12" fillId="0" borderId="0" xfId="2" applyFont="1"/>
    <xf numFmtId="9" fontId="3" fillId="0" borderId="0" xfId="2" applyFont="1"/>
    <xf numFmtId="38" fontId="0" fillId="4" borderId="7" xfId="0" applyNumberFormat="1" applyFill="1" applyBorder="1"/>
    <xf numFmtId="10" fontId="0" fillId="2" borderId="0" xfId="2" applyNumberFormat="1" applyFont="1" applyFill="1" applyAlignment="1"/>
    <xf numFmtId="170" fontId="5" fillId="2" borderId="0" xfId="1" applyNumberFormat="1" applyFont="1" applyFill="1" applyBorder="1" applyAlignment="1">
      <alignment vertical="top"/>
    </xf>
    <xf numFmtId="170" fontId="7" fillId="2" borderId="0" xfId="1" applyNumberFormat="1" applyFont="1" applyFill="1" applyBorder="1" applyAlignment="1">
      <alignment vertical="top" shrinkToFit="1"/>
    </xf>
    <xf numFmtId="170" fontId="5" fillId="2" borderId="0" xfId="1" applyNumberFormat="1" applyFont="1" applyFill="1" applyBorder="1" applyAlignment="1">
      <alignment vertical="top" wrapText="1"/>
    </xf>
    <xf numFmtId="170" fontId="0" fillId="2" borderId="0" xfId="1" applyNumberFormat="1" applyFont="1" applyFill="1" applyAlignment="1"/>
    <xf numFmtId="170" fontId="0" fillId="2" borderId="0" xfId="0" applyNumberFormat="1" applyFont="1" applyFill="1" applyAlignment="1"/>
    <xf numFmtId="170" fontId="0" fillId="2" borderId="0" xfId="1" applyNumberFormat="1" applyFont="1" applyFill="1" applyBorder="1" applyAlignment="1">
      <alignment vertical="top"/>
    </xf>
    <xf numFmtId="170" fontId="7" fillId="2" borderId="0" xfId="1" applyNumberFormat="1" applyFont="1" applyFill="1" applyBorder="1" applyAlignment="1">
      <alignment vertical="center" shrinkToFit="1"/>
    </xf>
    <xf numFmtId="170" fontId="2" fillId="2" borderId="0" xfId="1" applyNumberFormat="1" applyFont="1" applyFill="1" applyAlignment="1"/>
    <xf numFmtId="170" fontId="9" fillId="2" borderId="4" xfId="1" applyNumberFormat="1" applyFont="1" applyFill="1" applyBorder="1" applyAlignment="1">
      <alignment vertical="top" shrinkToFit="1"/>
    </xf>
    <xf numFmtId="170" fontId="0" fillId="2" borderId="0" xfId="1" applyNumberFormat="1" applyFont="1" applyFill="1" applyBorder="1" applyAlignment="1"/>
    <xf numFmtId="170" fontId="10" fillId="2" borderId="0" xfId="1" applyNumberFormat="1" applyFont="1" applyFill="1" applyBorder="1" applyAlignment="1">
      <alignment vertical="top" shrinkToFit="1"/>
    </xf>
    <xf numFmtId="170" fontId="2" fillId="2" borderId="4" xfId="1" applyNumberFormat="1" applyFont="1" applyFill="1" applyBorder="1" applyAlignment="1"/>
    <xf numFmtId="170" fontId="0" fillId="2" borderId="3" xfId="1" applyNumberFormat="1" applyFont="1" applyFill="1" applyBorder="1" applyAlignment="1"/>
    <xf numFmtId="170" fontId="7" fillId="2" borderId="0" xfId="0" applyNumberFormat="1" applyFont="1" applyFill="1" applyBorder="1" applyAlignment="1">
      <alignment vertical="top" shrinkToFit="1"/>
    </xf>
    <xf numFmtId="170" fontId="2" fillId="2" borderId="5" xfId="1" applyNumberFormat="1" applyFont="1" applyFill="1" applyBorder="1" applyAlignment="1"/>
    <xf numFmtId="2" fontId="3" fillId="2" borderId="0" xfId="1" applyNumberFormat="1" applyFont="1" applyFill="1" applyAlignment="1"/>
    <xf numFmtId="170" fontId="7" fillId="2" borderId="0" xfId="1" applyNumberFormat="1" applyFont="1" applyFill="1" applyBorder="1" applyAlignment="1">
      <alignment horizontal="right" vertical="top" shrinkToFit="1"/>
    </xf>
    <xf numFmtId="3" fontId="29" fillId="0" borderId="0" xfId="0" applyNumberFormat="1" applyFont="1"/>
    <xf numFmtId="174" fontId="0" fillId="0" borderId="0" xfId="0" applyNumberFormat="1"/>
    <xf numFmtId="43" fontId="0" fillId="0" borderId="0" xfId="1" applyFont="1"/>
    <xf numFmtId="173" fontId="0" fillId="0" borderId="0" xfId="2" applyNumberFormat="1" applyFont="1"/>
    <xf numFmtId="169" fontId="0" fillId="7" borderId="0" xfId="0" applyNumberFormat="1" applyFill="1"/>
    <xf numFmtId="9" fontId="0" fillId="0" borderId="0" xfId="0" applyNumberFormat="1"/>
    <xf numFmtId="175" fontId="0" fillId="0" borderId="0" xfId="2" applyNumberFormat="1" applyFont="1"/>
    <xf numFmtId="175" fontId="2" fillId="0" borderId="20" xfId="2" applyNumberFormat="1" applyFont="1" applyBorder="1"/>
    <xf numFmtId="176" fontId="2" fillId="0" borderId="0" xfId="2" applyNumberFormat="1" applyFont="1"/>
    <xf numFmtId="168" fontId="2" fillId="0" borderId="0" xfId="2" applyNumberFormat="1" applyFont="1"/>
    <xf numFmtId="168" fontId="1" fillId="0" borderId="0" xfId="2" applyNumberFormat="1" applyFont="1"/>
    <xf numFmtId="38" fontId="0" fillId="8" borderId="0" xfId="0" applyNumberFormat="1" applyFill="1"/>
    <xf numFmtId="171" fontId="0" fillId="0" borderId="0" xfId="0" applyNumberFormat="1" applyBorder="1"/>
    <xf numFmtId="171" fontId="2" fillId="0" borderId="0" xfId="0" applyNumberFormat="1" applyFont="1" applyBorder="1"/>
    <xf numFmtId="175" fontId="2" fillId="0" borderId="0" xfId="2" applyNumberFormat="1" applyFont="1" applyBorder="1"/>
    <xf numFmtId="3" fontId="2" fillId="0" borderId="0" xfId="0" applyNumberFormat="1" applyFont="1" applyBorder="1"/>
    <xf numFmtId="175" fontId="0" fillId="0" borderId="0" xfId="0" applyNumberFormat="1"/>
    <xf numFmtId="0" fontId="32" fillId="0" borderId="0" xfId="0" applyFont="1"/>
    <xf numFmtId="0" fontId="23" fillId="0" borderId="0" xfId="0" applyFont="1"/>
    <xf numFmtId="175" fontId="32" fillId="0" borderId="20" xfId="2" applyNumberFormat="1" applyFont="1" applyBorder="1"/>
    <xf numFmtId="175" fontId="2" fillId="0" borderId="20" xfId="0" applyNumberFormat="1" applyFont="1" applyBorder="1"/>
    <xf numFmtId="175" fontId="31" fillId="9" borderId="22" xfId="5" applyNumberFormat="1"/>
    <xf numFmtId="165" fontId="31" fillId="9" borderId="22" xfId="5" applyNumberFormat="1"/>
    <xf numFmtId="177" fontId="0" fillId="0" borderId="0" xfId="0" applyNumberFormat="1"/>
    <xf numFmtId="0" fontId="33" fillId="2" borderId="0" xfId="0" applyFont="1" applyFill="1"/>
    <xf numFmtId="173" fontId="0" fillId="2" borderId="0" xfId="0" applyNumberFormat="1" applyFill="1"/>
    <xf numFmtId="0" fontId="0" fillId="2" borderId="3" xfId="0" applyFill="1" applyBorder="1"/>
    <xf numFmtId="173" fontId="0" fillId="2" borderId="3" xfId="0" applyNumberFormat="1" applyFill="1" applyBorder="1"/>
    <xf numFmtId="173" fontId="0" fillId="2" borderId="0" xfId="0" applyNumberFormat="1" applyFill="1" applyAlignment="1">
      <alignment wrapText="1"/>
    </xf>
    <xf numFmtId="173" fontId="0" fillId="2" borderId="25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173" fontId="0" fillId="2" borderId="0" xfId="0" applyNumberFormat="1" applyFill="1" applyBorder="1" applyAlignment="1">
      <alignment wrapText="1"/>
    </xf>
    <xf numFmtId="0" fontId="0" fillId="2" borderId="26" xfId="0" applyFill="1" applyBorder="1" applyAlignment="1">
      <alignment wrapText="1"/>
    </xf>
    <xf numFmtId="173" fontId="0" fillId="2" borderId="25" xfId="0" applyNumberFormat="1" applyFill="1" applyBorder="1"/>
    <xf numFmtId="173" fontId="0" fillId="2" borderId="0" xfId="0" applyNumberFormat="1" applyFill="1" applyBorder="1"/>
    <xf numFmtId="173" fontId="0" fillId="2" borderId="26" xfId="0" applyNumberFormat="1" applyFill="1" applyBorder="1"/>
    <xf numFmtId="173" fontId="0" fillId="2" borderId="14" xfId="0" applyNumberFormat="1" applyFill="1" applyBorder="1"/>
    <xf numFmtId="173" fontId="0" fillId="2" borderId="15" xfId="0" applyNumberFormat="1" applyFill="1" applyBorder="1"/>
    <xf numFmtId="173" fontId="0" fillId="2" borderId="27" xfId="0" applyNumberFormat="1" applyFill="1" applyBorder="1"/>
    <xf numFmtId="173" fontId="0" fillId="2" borderId="21" xfId="0" applyNumberFormat="1" applyFill="1" applyBorder="1"/>
    <xf numFmtId="173" fontId="0" fillId="2" borderId="28" xfId="0" applyNumberFormat="1" applyFill="1" applyBorder="1"/>
    <xf numFmtId="0" fontId="0" fillId="2" borderId="0" xfId="0" applyFill="1" applyBorder="1"/>
    <xf numFmtId="0" fontId="0" fillId="2" borderId="26" xfId="0" applyFill="1" applyBorder="1"/>
    <xf numFmtId="178" fontId="0" fillId="2" borderId="0" xfId="0" applyNumberFormat="1" applyFill="1" applyBorder="1"/>
    <xf numFmtId="0" fontId="0" fillId="2" borderId="21" xfId="0" applyFill="1" applyBorder="1"/>
    <xf numFmtId="173" fontId="28" fillId="0" borderId="0" xfId="0" applyNumberFormat="1" applyFont="1" applyFill="1" applyAlignment="1"/>
    <xf numFmtId="9" fontId="0" fillId="2" borderId="0" xfId="0" applyNumberFormat="1" applyFill="1"/>
    <xf numFmtId="173" fontId="30" fillId="2" borderId="0" xfId="0" applyNumberFormat="1" applyFont="1" applyFill="1"/>
    <xf numFmtId="169" fontId="0" fillId="10" borderId="0" xfId="0" applyNumberFormat="1" applyFill="1"/>
    <xf numFmtId="179" fontId="0" fillId="2" borderId="26" xfId="0" applyNumberFormat="1" applyFill="1" applyBorder="1"/>
    <xf numFmtId="169" fontId="0" fillId="0" borderId="0" xfId="0" applyNumberFormat="1" applyFill="1"/>
    <xf numFmtId="180" fontId="0" fillId="2" borderId="26" xfId="0" applyNumberFormat="1" applyFill="1" applyBorder="1"/>
    <xf numFmtId="0" fontId="17" fillId="2" borderId="0" xfId="4" applyFont="1" applyFill="1" applyAlignment="1">
      <alignment horizontal="center"/>
    </xf>
    <xf numFmtId="0" fontId="16" fillId="2" borderId="0" xfId="4" applyFont="1" applyFill="1" applyAlignment="1">
      <alignment horizontal="center"/>
    </xf>
    <xf numFmtId="0" fontId="18" fillId="2" borderId="0" xfId="4" applyFont="1" applyFill="1" applyAlignment="1">
      <alignment horizontal="center"/>
    </xf>
    <xf numFmtId="166" fontId="14" fillId="5" borderId="16" xfId="1" applyNumberFormat="1" applyFont="1" applyFill="1" applyBorder="1" applyAlignment="1">
      <alignment horizontal="center"/>
    </xf>
    <xf numFmtId="166" fontId="14" fillId="3" borderId="16" xfId="1" applyNumberFormat="1" applyFont="1" applyFill="1" applyBorder="1" applyAlignment="1">
      <alignment horizontal="center"/>
    </xf>
    <xf numFmtId="166" fontId="14" fillId="3" borderId="17" xfId="1" applyNumberFormat="1" applyFont="1" applyFill="1" applyBorder="1" applyAlignment="1">
      <alignment horizontal="center"/>
    </xf>
    <xf numFmtId="166" fontId="14" fillId="3" borderId="18" xfId="1" applyNumberFormat="1" applyFont="1" applyFill="1" applyBorder="1" applyAlignment="1">
      <alignment horizontal="center"/>
    </xf>
    <xf numFmtId="166" fontId="14" fillId="3" borderId="19" xfId="1" applyNumberFormat="1" applyFont="1" applyFill="1" applyBorder="1" applyAlignment="1">
      <alignment horizontal="center"/>
    </xf>
    <xf numFmtId="173" fontId="14" fillId="3" borderId="23" xfId="0" applyNumberFormat="1" applyFont="1" applyFill="1" applyBorder="1" applyAlignment="1">
      <alignment horizontal="center"/>
    </xf>
    <xf numFmtId="173" fontId="14" fillId="3" borderId="20" xfId="0" applyNumberFormat="1" applyFont="1" applyFill="1" applyBorder="1" applyAlignment="1">
      <alignment horizontal="center"/>
    </xf>
    <xf numFmtId="173" fontId="14" fillId="3" borderId="24" xfId="0" applyNumberFormat="1" applyFont="1" applyFill="1" applyBorder="1" applyAlignment="1">
      <alignment horizontal="center"/>
    </xf>
    <xf numFmtId="166" fontId="14" fillId="3" borderId="1" xfId="1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8" fontId="14" fillId="6" borderId="1" xfId="1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166" fontId="14" fillId="3" borderId="14" xfId="1" applyNumberFormat="1" applyFont="1" applyFill="1" applyBorder="1" applyAlignment="1">
      <alignment horizontal="center"/>
    </xf>
    <xf numFmtId="166" fontId="14" fillId="3" borderId="3" xfId="1" applyNumberFormat="1" applyFont="1" applyFill="1" applyBorder="1" applyAlignment="1">
      <alignment horizontal="center"/>
    </xf>
    <xf numFmtId="166" fontId="14" fillId="3" borderId="15" xfId="1" applyNumberFormat="1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</cellXfs>
  <cellStyles count="6">
    <cellStyle name="Comma" xfId="1" builtinId="3"/>
    <cellStyle name="Input" xfId="5" builtinId="20"/>
    <cellStyle name="Normal" xfId="0" builtinId="0"/>
    <cellStyle name="Percent" xfId="2" builtinId="5"/>
    <cellStyle name="Title 2" xfId="4"/>
    <cellStyle name="Warning Text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view="pageLayout" zoomScaleNormal="100" workbookViewId="0">
      <selection activeCell="I4" sqref="I4"/>
    </sheetView>
  </sheetViews>
  <sheetFormatPr defaultRowHeight="15" x14ac:dyDescent="0.25"/>
  <cols>
    <col min="1" max="16384" width="9.140625" style="2"/>
  </cols>
  <sheetData>
    <row r="2" spans="1:13" ht="46.5" x14ac:dyDescent="0.7">
      <c r="A2" s="211" t="s">
        <v>259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17" spans="1:13" ht="33.75" x14ac:dyDescent="0.5">
      <c r="A17" s="212" t="s">
        <v>258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</row>
    <row r="19" spans="1:13" ht="15" customHeight="1" x14ac:dyDescent="0.3">
      <c r="A19" s="213" t="s">
        <v>257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</sheetData>
  <mergeCells count="3">
    <mergeCell ref="A2:M2"/>
    <mergeCell ref="A17:M17"/>
    <mergeCell ref="A19:M19"/>
  </mergeCells>
  <pageMargins left="0.7" right="0.7" top="0.75" bottom="0.75" header="0.3" footer="0.3"/>
  <pageSetup orientation="landscape" r:id="rId1"/>
  <headerFooter>
    <oddFooter>Prepared by Mathias Amuta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zoomScaleNormal="100" workbookViewId="0">
      <pane ySplit="4" topLeftCell="A48" activePane="bottomLeft" state="frozen"/>
      <selection pane="bottomLeft" activeCell="F54" sqref="F54"/>
    </sheetView>
  </sheetViews>
  <sheetFormatPr defaultRowHeight="15" x14ac:dyDescent="0.25"/>
  <cols>
    <col min="1" max="1" width="1.28515625" style="33" customWidth="1"/>
    <col min="2" max="2" width="41.140625" style="33" customWidth="1"/>
    <col min="3" max="6" width="13.5703125" style="4" customWidth="1"/>
    <col min="7" max="10" width="13.5703125" style="33" customWidth="1"/>
    <col min="11" max="16384" width="9.140625" style="33"/>
  </cols>
  <sheetData>
    <row r="1" spans="1:11" s="117" customFormat="1" ht="26.25" x14ac:dyDescent="0.4">
      <c r="A1" s="120" t="str">
        <f>Cover!A2</f>
        <v>Flour Mills of  Nigeria PLC</v>
      </c>
      <c r="C1" s="80">
        <f>'Balance Sheet'!C1</f>
        <v>0</v>
      </c>
      <c r="D1" s="80">
        <f>'Balance Sheet'!D1</f>
        <v>0</v>
      </c>
      <c r="E1" s="80">
        <f>'Balance Sheet'!E1</f>
        <v>0</v>
      </c>
      <c r="F1" s="80">
        <f ca="1">'Balance Sheet'!F1</f>
        <v>0</v>
      </c>
      <c r="G1" s="80">
        <f ca="1">'Balance Sheet'!G1</f>
        <v>0</v>
      </c>
      <c r="H1" s="80">
        <f ca="1">'Balance Sheet'!H1</f>
        <v>0</v>
      </c>
      <c r="I1" s="80">
        <f ca="1">'Balance Sheet'!I1</f>
        <v>0</v>
      </c>
      <c r="J1" s="80">
        <f ca="1">'Balance Sheet'!J1</f>
        <v>0</v>
      </c>
      <c r="K1" s="118"/>
    </row>
    <row r="2" spans="1:11" x14ac:dyDescent="0.25">
      <c r="A2" s="1" t="s">
        <v>0</v>
      </c>
      <c r="B2" s="1"/>
    </row>
    <row r="3" spans="1:11" x14ac:dyDescent="0.25">
      <c r="C3" s="214" t="s">
        <v>1</v>
      </c>
      <c r="D3" s="214"/>
      <c r="E3" s="214"/>
      <c r="F3" s="215" t="s">
        <v>181</v>
      </c>
      <c r="G3" s="215"/>
      <c r="H3" s="215"/>
      <c r="I3" s="215"/>
      <c r="J3" s="215"/>
    </row>
    <row r="4" spans="1:11" ht="15.75" thickBot="1" x14ac:dyDescent="0.3">
      <c r="A4" s="124" t="s">
        <v>260</v>
      </c>
      <c r="B4" s="3"/>
      <c r="C4" s="104" t="s">
        <v>2</v>
      </c>
      <c r="D4" s="104" t="s">
        <v>3</v>
      </c>
      <c r="E4" s="104" t="s">
        <v>4</v>
      </c>
      <c r="F4" s="104" t="s">
        <v>174</v>
      </c>
      <c r="G4" s="104" t="s">
        <v>175</v>
      </c>
      <c r="H4" s="104" t="s">
        <v>176</v>
      </c>
      <c r="I4" s="104" t="s">
        <v>177</v>
      </c>
      <c r="J4" s="104" t="s">
        <v>178</v>
      </c>
    </row>
    <row r="5" spans="1:11" ht="15.75" thickTop="1" x14ac:dyDescent="0.25">
      <c r="A5" s="1" t="s">
        <v>5</v>
      </c>
      <c r="B5" s="6"/>
      <c r="C5" s="7"/>
      <c r="D5" s="7"/>
      <c r="E5" s="7"/>
    </row>
    <row r="6" spans="1:11" x14ac:dyDescent="0.25">
      <c r="B6" s="39" t="s">
        <v>99</v>
      </c>
      <c r="C6" s="29">
        <v>523917783</v>
      </c>
      <c r="D6" s="29">
        <v>522573597</v>
      </c>
      <c r="E6" s="29">
        <v>506405466</v>
      </c>
    </row>
    <row r="7" spans="1:11" s="126" customFormat="1" ht="12" x14ac:dyDescent="0.2">
      <c r="B7" s="132" t="s">
        <v>17</v>
      </c>
      <c r="C7" s="128"/>
      <c r="D7" s="128">
        <f>D6/C6-1</f>
        <v>-2.5656430142589892E-3</v>
      </c>
      <c r="E7" s="128">
        <f>E6/D6-1</f>
        <v>-3.0939433398124772E-2</v>
      </c>
      <c r="F7" s="133"/>
    </row>
    <row r="8" spans="1:11" x14ac:dyDescent="0.25">
      <c r="A8" s="1"/>
      <c r="B8" s="39" t="s">
        <v>100</v>
      </c>
      <c r="C8" s="29">
        <v>546665</v>
      </c>
      <c r="D8" s="29">
        <v>20096812</v>
      </c>
      <c r="E8" s="29">
        <v>20999101</v>
      </c>
      <c r="F8" s="35"/>
      <c r="G8" s="4"/>
      <c r="H8" s="4"/>
    </row>
    <row r="9" spans="1:11" s="128" customFormat="1" ht="12" x14ac:dyDescent="0.2">
      <c r="B9" s="128" t="s">
        <v>17</v>
      </c>
      <c r="D9" s="128">
        <f>D8/C8-1</f>
        <v>35.762573056625172</v>
      </c>
      <c r="E9" s="128">
        <f>E8/D8-1</f>
        <v>4.489712099610621E-2</v>
      </c>
    </row>
    <row r="10" spans="1:11" s="1" customFormat="1" x14ac:dyDescent="0.25">
      <c r="A10" s="1" t="s">
        <v>18</v>
      </c>
      <c r="C10" s="122">
        <f>ROUND(C8+C6, -3)</f>
        <v>524464000</v>
      </c>
      <c r="D10" s="122">
        <f>ROUND(D8+D6, -3)</f>
        <v>542670000</v>
      </c>
      <c r="E10" s="122">
        <f>ROUND(E8+E6, -3)</f>
        <v>527405000</v>
      </c>
      <c r="F10" s="122">
        <f>ROUND(E10*(1+F11), -3)</f>
        <v>529141000</v>
      </c>
      <c r="G10" s="122">
        <f>ROUND(F10*(1+G11), -3)</f>
        <v>530883000</v>
      </c>
      <c r="H10" s="122">
        <f>ROUND(G10*(1+H11), -3)</f>
        <v>532631000</v>
      </c>
      <c r="I10" s="122">
        <f>ROUND(H10*(1+I11), -3)</f>
        <v>534384000</v>
      </c>
      <c r="J10" s="122">
        <f>ROUND(I10*(1+J11), -3)</f>
        <v>536143000</v>
      </c>
    </row>
    <row r="11" spans="1:11" s="128" customFormat="1" ht="12" x14ac:dyDescent="0.2">
      <c r="B11" s="128" t="s">
        <v>19</v>
      </c>
      <c r="D11" s="128">
        <f>D10/C10-1</f>
        <v>3.4713536105433374E-2</v>
      </c>
      <c r="E11" s="128">
        <f>E10/D10-1</f>
        <v>-2.8129434094385175E-2</v>
      </c>
      <c r="F11" s="128">
        <f>AVERAGE($D$11,$E$11)</f>
        <v>3.2920510055240992E-3</v>
      </c>
      <c r="G11" s="128">
        <f>AVERAGE($D$11,$E$11)</f>
        <v>3.2920510055240992E-3</v>
      </c>
      <c r="H11" s="128">
        <f>AVERAGE($D$11,$E$11)</f>
        <v>3.2920510055240992E-3</v>
      </c>
      <c r="I11" s="128">
        <f>AVERAGE($D$11,$E$11)</f>
        <v>3.2920510055240992E-3</v>
      </c>
      <c r="J11" s="128">
        <f>AVERAGE($D$11,$E$11)</f>
        <v>3.2920510055240992E-3</v>
      </c>
    </row>
    <row r="12" spans="1:11" x14ac:dyDescent="0.25">
      <c r="A12" s="1" t="s">
        <v>6</v>
      </c>
      <c r="C12" s="35"/>
    </row>
    <row r="13" spans="1:11" x14ac:dyDescent="0.25">
      <c r="B13" s="134" t="s">
        <v>101</v>
      </c>
      <c r="C13" s="29">
        <v>403152026</v>
      </c>
      <c r="D13" s="29">
        <v>418672241</v>
      </c>
      <c r="E13" s="29">
        <v>407207732</v>
      </c>
      <c r="F13" s="33"/>
    </row>
    <row r="14" spans="1:11" x14ac:dyDescent="0.25">
      <c r="B14" s="134" t="s">
        <v>102</v>
      </c>
      <c r="C14" s="29">
        <v>12100810</v>
      </c>
      <c r="D14" s="29">
        <v>13229208</v>
      </c>
      <c r="E14" s="29">
        <v>16125743</v>
      </c>
      <c r="F14" s="33"/>
    </row>
    <row r="15" spans="1:11" x14ac:dyDescent="0.25">
      <c r="B15" s="134" t="s">
        <v>103</v>
      </c>
      <c r="C15" s="29">
        <v>18581494</v>
      </c>
      <c r="D15" s="29">
        <v>14156619</v>
      </c>
      <c r="E15" s="29">
        <v>14300523</v>
      </c>
      <c r="F15" s="33"/>
    </row>
    <row r="16" spans="1:11" x14ac:dyDescent="0.25">
      <c r="B16" s="134" t="s">
        <v>104</v>
      </c>
      <c r="C16" s="29">
        <v>4648532</v>
      </c>
      <c r="D16" s="29">
        <v>2403237</v>
      </c>
      <c r="E16" s="29">
        <v>2058453</v>
      </c>
      <c r="F16" s="33"/>
    </row>
    <row r="17" spans="1:11" x14ac:dyDescent="0.25">
      <c r="B17" s="134" t="s">
        <v>105</v>
      </c>
      <c r="C17" s="29">
        <v>4958453</v>
      </c>
      <c r="D17" s="29">
        <v>7000058</v>
      </c>
      <c r="E17" s="29">
        <v>9752174</v>
      </c>
      <c r="F17" s="33"/>
    </row>
    <row r="18" spans="1:11" x14ac:dyDescent="0.25">
      <c r="B18" s="134" t="s">
        <v>106</v>
      </c>
      <c r="C18" s="29">
        <v>216166</v>
      </c>
      <c r="D18" s="29">
        <v>274610</v>
      </c>
      <c r="E18" s="29">
        <v>387468</v>
      </c>
      <c r="F18" s="33"/>
    </row>
    <row r="19" spans="1:11" x14ac:dyDescent="0.25">
      <c r="B19" s="134" t="s">
        <v>107</v>
      </c>
      <c r="C19" s="29">
        <v>1339647</v>
      </c>
      <c r="D19" s="29">
        <v>3345986</v>
      </c>
      <c r="E19" s="29">
        <v>5019889</v>
      </c>
      <c r="F19" s="33"/>
    </row>
    <row r="20" spans="1:11" s="1" customFormat="1" x14ac:dyDescent="0.25">
      <c r="A20" s="1" t="s">
        <v>20</v>
      </c>
      <c r="C20" s="122">
        <f>SUM(C13:C19)</f>
        <v>444997128</v>
      </c>
      <c r="D20" s="122">
        <f>SUM(D13:D19)</f>
        <v>459081959</v>
      </c>
      <c r="E20" s="122">
        <f>SUM(E13:E19)</f>
        <v>454851982</v>
      </c>
      <c r="F20" s="122">
        <f>ROUND(F10*F21, -3)</f>
        <v>456349000</v>
      </c>
      <c r="G20" s="122">
        <f>ROUND(G10*G21, -3)</f>
        <v>457852000</v>
      </c>
      <c r="H20" s="122">
        <f>ROUND(H10*H21, -3)</f>
        <v>459359000</v>
      </c>
      <c r="I20" s="122">
        <f>ROUND(I10*I21, -3)</f>
        <v>460871000</v>
      </c>
      <c r="J20" s="122">
        <f>ROUND(J10*J21, -3)</f>
        <v>462388000</v>
      </c>
    </row>
    <row r="21" spans="1:11" s="1" customFormat="1" x14ac:dyDescent="0.25">
      <c r="B21" s="8" t="s">
        <v>24</v>
      </c>
      <c r="C21" s="9">
        <f>C20/C10</f>
        <v>0.84847983465023336</v>
      </c>
      <c r="D21" s="9">
        <f>D20/D10</f>
        <v>0.84596892955202974</v>
      </c>
      <c r="E21" s="9">
        <f>E20/E10</f>
        <v>0.8624339587224239</v>
      </c>
      <c r="F21" s="40">
        <f>MAX($C$21,$D$21,$E$21)</f>
        <v>0.8624339587224239</v>
      </c>
      <c r="G21" s="40">
        <f>MAX($C$21,$D$21,$E$21)</f>
        <v>0.8624339587224239</v>
      </c>
      <c r="H21" s="40">
        <f>MAX($C$21,$D$21,$E$21)</f>
        <v>0.8624339587224239</v>
      </c>
      <c r="I21" s="40">
        <f>MAX($C$21,$D$21,$E$21)</f>
        <v>0.8624339587224239</v>
      </c>
      <c r="J21" s="40">
        <f>MAX($C$21,$D$21,$E$21)</f>
        <v>0.8624339587224239</v>
      </c>
    </row>
    <row r="22" spans="1:11" s="1" customFormat="1" x14ac:dyDescent="0.25">
      <c r="A22" s="1" t="s">
        <v>7</v>
      </c>
      <c r="C22" s="123">
        <f t="shared" ref="C22:J22" si="0">C10-C20</f>
        <v>79466872</v>
      </c>
      <c r="D22" s="123">
        <f t="shared" si="0"/>
        <v>83588041</v>
      </c>
      <c r="E22" s="123">
        <f t="shared" si="0"/>
        <v>72553018</v>
      </c>
      <c r="F22" s="123">
        <f t="shared" si="0"/>
        <v>72792000</v>
      </c>
      <c r="G22" s="123">
        <f t="shared" si="0"/>
        <v>73031000</v>
      </c>
      <c r="H22" s="123">
        <f t="shared" si="0"/>
        <v>73272000</v>
      </c>
      <c r="I22" s="123">
        <f t="shared" si="0"/>
        <v>73513000</v>
      </c>
      <c r="J22" s="123">
        <f t="shared" si="0"/>
        <v>73755000</v>
      </c>
    </row>
    <row r="23" spans="1:11" s="126" customFormat="1" ht="12" x14ac:dyDescent="0.2">
      <c r="B23" s="127" t="s">
        <v>25</v>
      </c>
      <c r="C23" s="127">
        <f t="shared" ref="C23:J23" si="1">C22/C10</f>
        <v>0.15152016534976662</v>
      </c>
      <c r="D23" s="127">
        <f t="shared" si="1"/>
        <v>0.15403107044797021</v>
      </c>
      <c r="E23" s="127">
        <f t="shared" si="1"/>
        <v>0.13756604127757605</v>
      </c>
      <c r="F23" s="127">
        <f t="shared" si="1"/>
        <v>0.13756635754931104</v>
      </c>
      <c r="G23" s="127">
        <f t="shared" si="1"/>
        <v>0.13756515089012081</v>
      </c>
      <c r="H23" s="127">
        <f t="shared" si="1"/>
        <v>0.13756615743357034</v>
      </c>
      <c r="I23" s="127">
        <f t="shared" si="1"/>
        <v>0.1375658702356358</v>
      </c>
      <c r="J23" s="127">
        <f t="shared" si="1"/>
        <v>0.13756591058728734</v>
      </c>
    </row>
    <row r="24" spans="1:11" x14ac:dyDescent="0.25">
      <c r="A24" s="1" t="s">
        <v>8</v>
      </c>
      <c r="D24" s="35"/>
      <c r="E24" s="35"/>
    </row>
    <row r="25" spans="1:11" x14ac:dyDescent="0.25">
      <c r="B25" s="39" t="s">
        <v>108</v>
      </c>
      <c r="C25" s="29">
        <v>1697205</v>
      </c>
      <c r="D25" s="29">
        <v>1834540</v>
      </c>
      <c r="E25" s="29">
        <v>2633597</v>
      </c>
    </row>
    <row r="26" spans="1:11" x14ac:dyDescent="0.25">
      <c r="B26" s="39" t="s">
        <v>109</v>
      </c>
      <c r="C26" s="29">
        <v>375710</v>
      </c>
      <c r="D26" s="29">
        <v>671638</v>
      </c>
      <c r="E26" s="29">
        <v>1793408</v>
      </c>
    </row>
    <row r="27" spans="1:11" x14ac:dyDescent="0.25">
      <c r="B27" s="39" t="s">
        <v>110</v>
      </c>
      <c r="C27" s="29">
        <v>3268233</v>
      </c>
      <c r="D27" s="29">
        <v>3673914</v>
      </c>
      <c r="E27" s="29">
        <v>3738787</v>
      </c>
    </row>
    <row r="28" spans="1:11" s="1" customFormat="1" x14ac:dyDescent="0.25">
      <c r="A28" s="1" t="s">
        <v>21</v>
      </c>
      <c r="C28" s="122">
        <f>SUM(C25:C27)</f>
        <v>5341148</v>
      </c>
      <c r="D28" s="122">
        <f>SUM(D25:D27)</f>
        <v>6180092</v>
      </c>
      <c r="E28" s="122">
        <f>SUM(E25:E27)</f>
        <v>8165792</v>
      </c>
      <c r="F28" s="122">
        <f>ROUND(F10*F29, -3)</f>
        <v>8193000</v>
      </c>
      <c r="G28" s="122">
        <f>ROUND(G10*G29, -3)</f>
        <v>8220000</v>
      </c>
      <c r="H28" s="122">
        <f>ROUND(H10*H29, -3)</f>
        <v>8247000</v>
      </c>
      <c r="I28" s="122">
        <f>ROUND(I10*I29, -3)</f>
        <v>8274000</v>
      </c>
      <c r="J28" s="122">
        <f>ROUND(J10*J29, -3)</f>
        <v>8301000</v>
      </c>
    </row>
    <row r="29" spans="1:11" s="126" customFormat="1" ht="12" x14ac:dyDescent="0.2">
      <c r="B29" s="126" t="s">
        <v>261</v>
      </c>
      <c r="C29" s="128">
        <f>C28/C10</f>
        <v>1.0184012630037525E-2</v>
      </c>
      <c r="D29" s="128">
        <f>D28/D10</f>
        <v>1.1388305968636556E-2</v>
      </c>
      <c r="E29" s="128">
        <f>E28/E10</f>
        <v>1.5482962808467875E-2</v>
      </c>
      <c r="F29" s="128">
        <f>MAX($C$29,$D$29,$E$29)</f>
        <v>1.5482962808467875E-2</v>
      </c>
      <c r="G29" s="128">
        <f>MAX($C$29,$D$29,$E$29)</f>
        <v>1.5482962808467875E-2</v>
      </c>
      <c r="H29" s="128">
        <f>MAX($C$29,$D$29,$E$29)</f>
        <v>1.5482962808467875E-2</v>
      </c>
      <c r="I29" s="128">
        <f>MAX($C$29,$D$29,$E$29)</f>
        <v>1.5482962808467875E-2</v>
      </c>
      <c r="J29" s="128">
        <f>MAX($C$29,$D$29,$E$29)</f>
        <v>1.5482962808467875E-2</v>
      </c>
      <c r="K29" s="128"/>
    </row>
    <row r="30" spans="1:11" x14ac:dyDescent="0.25">
      <c r="A30" s="1" t="s">
        <v>16</v>
      </c>
      <c r="D30" s="35"/>
      <c r="E30" s="35"/>
    </row>
    <row r="31" spans="1:11" x14ac:dyDescent="0.25">
      <c r="A31" s="1"/>
      <c r="B31" s="119" t="s">
        <v>23</v>
      </c>
      <c r="C31" s="29">
        <v>389604</v>
      </c>
      <c r="D31" s="29"/>
      <c r="E31" s="29"/>
    </row>
    <row r="32" spans="1:11" x14ac:dyDescent="0.25">
      <c r="B32" s="134" t="s">
        <v>111</v>
      </c>
      <c r="C32" s="29">
        <v>2552401</v>
      </c>
      <c r="D32" s="29">
        <v>1383368</v>
      </c>
      <c r="E32" s="29">
        <v>1059623</v>
      </c>
    </row>
    <row r="33" spans="2:7" x14ac:dyDescent="0.25">
      <c r="B33" s="134" t="s">
        <v>112</v>
      </c>
      <c r="C33" s="29">
        <v>661822</v>
      </c>
      <c r="D33" s="29">
        <v>789035</v>
      </c>
      <c r="E33" s="29">
        <v>892649</v>
      </c>
    </row>
    <row r="34" spans="2:7" x14ac:dyDescent="0.25">
      <c r="B34" s="134" t="s">
        <v>113</v>
      </c>
      <c r="C34" s="29">
        <v>4607074</v>
      </c>
      <c r="D34" s="29">
        <v>5649303</v>
      </c>
      <c r="E34" s="29">
        <v>6603291</v>
      </c>
    </row>
    <row r="35" spans="2:7" x14ac:dyDescent="0.25">
      <c r="B35" s="134" t="s">
        <v>114</v>
      </c>
      <c r="C35" s="29">
        <v>959618</v>
      </c>
      <c r="D35" s="29">
        <v>733693</v>
      </c>
      <c r="E35" s="29">
        <v>942089</v>
      </c>
    </row>
    <row r="36" spans="2:7" x14ac:dyDescent="0.25">
      <c r="B36" s="134" t="s">
        <v>106</v>
      </c>
      <c r="C36" s="29">
        <v>218747</v>
      </c>
      <c r="D36" s="29">
        <v>242801</v>
      </c>
      <c r="E36" s="29">
        <v>276546</v>
      </c>
    </row>
    <row r="37" spans="2:7" ht="12.75" customHeight="1" x14ac:dyDescent="0.25">
      <c r="B37" s="134" t="s">
        <v>115</v>
      </c>
      <c r="C37" s="29">
        <v>670027</v>
      </c>
      <c r="D37" s="29">
        <v>834048</v>
      </c>
      <c r="E37" s="29">
        <v>867751</v>
      </c>
    </row>
    <row r="38" spans="2:7" x14ac:dyDescent="0.25">
      <c r="B38" s="134" t="s">
        <v>116</v>
      </c>
      <c r="C38" s="29">
        <v>92732</v>
      </c>
      <c r="D38" s="29">
        <v>165827</v>
      </c>
      <c r="E38" s="29">
        <v>131570</v>
      </c>
    </row>
    <row r="39" spans="2:7" x14ac:dyDescent="0.25">
      <c r="B39" s="134" t="s">
        <v>117</v>
      </c>
      <c r="C39" s="29">
        <v>806672</v>
      </c>
      <c r="D39" s="29">
        <v>678730</v>
      </c>
      <c r="E39" s="29">
        <v>825825</v>
      </c>
    </row>
    <row r="40" spans="2:7" x14ac:dyDescent="0.25">
      <c r="B40" s="134" t="s">
        <v>103</v>
      </c>
      <c r="C40" s="29">
        <v>380866</v>
      </c>
      <c r="D40" s="29">
        <v>821036</v>
      </c>
      <c r="E40" s="29">
        <v>580157</v>
      </c>
    </row>
    <row r="41" spans="2:7" x14ac:dyDescent="0.25">
      <c r="B41" s="134" t="s">
        <v>118</v>
      </c>
      <c r="C41" s="29">
        <v>296900</v>
      </c>
      <c r="D41" s="29">
        <v>366672</v>
      </c>
      <c r="E41" s="29">
        <v>405600</v>
      </c>
    </row>
    <row r="42" spans="2:7" x14ac:dyDescent="0.25">
      <c r="B42" s="134" t="s">
        <v>119</v>
      </c>
      <c r="C42" s="29">
        <v>42417</v>
      </c>
      <c r="D42" s="29">
        <v>164132</v>
      </c>
      <c r="E42" s="29">
        <v>217427</v>
      </c>
    </row>
    <row r="43" spans="2:7" x14ac:dyDescent="0.25">
      <c r="B43" s="134" t="s">
        <v>120</v>
      </c>
      <c r="C43" s="29">
        <v>86623</v>
      </c>
      <c r="D43" s="29">
        <v>82348</v>
      </c>
      <c r="E43" s="29">
        <v>106376</v>
      </c>
    </row>
    <row r="44" spans="2:7" x14ac:dyDescent="0.25">
      <c r="B44" s="134" t="s">
        <v>121</v>
      </c>
      <c r="C44" s="29">
        <v>409799</v>
      </c>
      <c r="D44" s="29">
        <v>778117</v>
      </c>
      <c r="E44" s="29">
        <v>324314</v>
      </c>
    </row>
    <row r="45" spans="2:7" x14ac:dyDescent="0.25">
      <c r="B45" s="134" t="s">
        <v>122</v>
      </c>
      <c r="C45" s="29">
        <v>964296</v>
      </c>
      <c r="D45" s="29">
        <v>1506849</v>
      </c>
      <c r="E45" s="29">
        <v>1263142</v>
      </c>
      <c r="F45" s="35"/>
      <c r="G45" s="34"/>
    </row>
    <row r="46" spans="2:7" x14ac:dyDescent="0.25">
      <c r="B46" s="134" t="s">
        <v>123</v>
      </c>
      <c r="C46" s="29">
        <v>185322</v>
      </c>
      <c r="D46" s="29">
        <v>441387</v>
      </c>
      <c r="E46" s="29">
        <v>217578</v>
      </c>
      <c r="G46" s="34"/>
    </row>
    <row r="47" spans="2:7" x14ac:dyDescent="0.25">
      <c r="B47" s="134" t="s">
        <v>124</v>
      </c>
      <c r="C47" s="29">
        <v>255015</v>
      </c>
      <c r="D47" s="29">
        <v>287469</v>
      </c>
      <c r="E47" s="29">
        <v>250419</v>
      </c>
    </row>
    <row r="48" spans="2:7" x14ac:dyDescent="0.25">
      <c r="B48" s="134" t="s">
        <v>125</v>
      </c>
      <c r="C48" s="29">
        <v>707816</v>
      </c>
      <c r="D48" s="29">
        <v>370449</v>
      </c>
      <c r="E48" s="29">
        <v>621053</v>
      </c>
    </row>
    <row r="49" spans="1:10" x14ac:dyDescent="0.25">
      <c r="B49" s="134" t="s">
        <v>126</v>
      </c>
      <c r="C49" s="29">
        <v>1752973</v>
      </c>
      <c r="D49" s="29">
        <v>1325973</v>
      </c>
      <c r="E49" s="29">
        <v>2309045</v>
      </c>
    </row>
    <row r="50" spans="1:10" s="1" customFormat="1" x14ac:dyDescent="0.25">
      <c r="A50" s="1" t="s">
        <v>22</v>
      </c>
      <c r="C50" s="122">
        <f>SUM(C31:C49)</f>
        <v>16040724</v>
      </c>
      <c r="D50" s="122">
        <f>SUM(D32:D49)</f>
        <v>16621237</v>
      </c>
      <c r="E50" s="122">
        <f>SUM(E32:E49)</f>
        <v>17894455</v>
      </c>
      <c r="F50" s="122">
        <f>ROUND(F51*F10, -3)</f>
        <v>17953000</v>
      </c>
      <c r="G50" s="122">
        <f>ROUND(G51*G10, -3)</f>
        <v>18012000</v>
      </c>
      <c r="H50" s="122">
        <f>ROUND(H51*H10, -3)</f>
        <v>18072000</v>
      </c>
      <c r="I50" s="122">
        <f>ROUND(I51*I10, -3)</f>
        <v>18131000</v>
      </c>
      <c r="J50" s="122">
        <f>ROUND(J51*J10, -3)</f>
        <v>18191000</v>
      </c>
    </row>
    <row r="51" spans="1:10" s="126" customFormat="1" ht="12" x14ac:dyDescent="0.2">
      <c r="B51" s="126" t="s">
        <v>262</v>
      </c>
      <c r="C51" s="128">
        <f>C50/C10</f>
        <v>3.0584985814088288E-2</v>
      </c>
      <c r="D51" s="128">
        <f>D50/D10</f>
        <v>3.0628626974035785E-2</v>
      </c>
      <c r="E51" s="128">
        <f>E50/E10</f>
        <v>3.3929247921426604E-2</v>
      </c>
      <c r="F51" s="128">
        <f>MAX(C51,D51,E51)</f>
        <v>3.3929247921426604E-2</v>
      </c>
      <c r="G51" s="128">
        <f>MAX(D51,E51,F51)</f>
        <v>3.3929247921426604E-2</v>
      </c>
      <c r="H51" s="128">
        <f>MAX(E51,F51,G51)</f>
        <v>3.3929247921426604E-2</v>
      </c>
      <c r="I51" s="128">
        <f>MAX(F51,G51,H51)</f>
        <v>3.3929247921426604E-2</v>
      </c>
      <c r="J51" s="128">
        <f>MAX(G51,H51,I51)</f>
        <v>3.3929247921426604E-2</v>
      </c>
    </row>
    <row r="52" spans="1:10" x14ac:dyDescent="0.25">
      <c r="A52" s="1" t="s">
        <v>195</v>
      </c>
      <c r="C52" s="123">
        <f t="shared" ref="C52:J52" si="2">SUM(C50,C28)</f>
        <v>21381872</v>
      </c>
      <c r="D52" s="123">
        <f t="shared" si="2"/>
        <v>22801329</v>
      </c>
      <c r="E52" s="123">
        <f t="shared" si="2"/>
        <v>26060247</v>
      </c>
      <c r="F52" s="123">
        <f t="shared" si="2"/>
        <v>26146000</v>
      </c>
      <c r="G52" s="123">
        <f t="shared" si="2"/>
        <v>26232000</v>
      </c>
      <c r="H52" s="123">
        <f t="shared" si="2"/>
        <v>26319000</v>
      </c>
      <c r="I52" s="123">
        <f t="shared" si="2"/>
        <v>26405000</v>
      </c>
      <c r="J52" s="123">
        <f t="shared" si="2"/>
        <v>26492000</v>
      </c>
    </row>
    <row r="53" spans="1:10" x14ac:dyDescent="0.25">
      <c r="A53" s="33" t="s">
        <v>9</v>
      </c>
      <c r="C53" s="29">
        <v>-1488216</v>
      </c>
      <c r="D53" s="29">
        <v>5943332</v>
      </c>
      <c r="E53" s="29">
        <v>6211205</v>
      </c>
      <c r="F53" s="4">
        <f>ROUND(AVERAGE($E$53,$D$53),-3)</f>
        <v>6077000</v>
      </c>
      <c r="G53" s="4">
        <f t="shared" ref="G53:J53" si="3">ROUND(AVERAGE($E$53,$D$53),-3)</f>
        <v>6077000</v>
      </c>
      <c r="H53" s="4">
        <f t="shared" si="3"/>
        <v>6077000</v>
      </c>
      <c r="I53" s="4">
        <f t="shared" si="3"/>
        <v>6077000</v>
      </c>
      <c r="J53" s="4">
        <f t="shared" si="3"/>
        <v>6077000</v>
      </c>
    </row>
    <row r="54" spans="1:10" x14ac:dyDescent="0.25">
      <c r="A54" s="125" t="s">
        <v>10</v>
      </c>
      <c r="C54" s="29">
        <v>0</v>
      </c>
      <c r="D54" s="29">
        <v>-692033</v>
      </c>
      <c r="E54" s="29">
        <v>327976</v>
      </c>
    </row>
    <row r="55" spans="1:10" s="1" customFormat="1" x14ac:dyDescent="0.25">
      <c r="A55" s="1" t="s">
        <v>26</v>
      </c>
      <c r="C55" s="123">
        <f t="shared" ref="C55:J55" si="4">C22-C52+C53+C54</f>
        <v>56596784</v>
      </c>
      <c r="D55" s="123">
        <f t="shared" si="4"/>
        <v>66038011</v>
      </c>
      <c r="E55" s="123">
        <f t="shared" si="4"/>
        <v>53031952</v>
      </c>
      <c r="F55" s="123">
        <f t="shared" si="4"/>
        <v>52723000</v>
      </c>
      <c r="G55" s="123">
        <f t="shared" si="4"/>
        <v>52876000</v>
      </c>
      <c r="H55" s="123">
        <f t="shared" si="4"/>
        <v>53030000</v>
      </c>
      <c r="I55" s="123">
        <f t="shared" si="4"/>
        <v>53185000</v>
      </c>
      <c r="J55" s="123">
        <f t="shared" si="4"/>
        <v>53340000</v>
      </c>
    </row>
    <row r="56" spans="1:10" s="130" customFormat="1" ht="12" x14ac:dyDescent="0.2">
      <c r="B56" s="126" t="s">
        <v>34</v>
      </c>
      <c r="C56" s="129">
        <f t="shared" ref="C56:J56" si="5">C55/C10</f>
        <v>0.10791357271423778</v>
      </c>
      <c r="D56" s="129">
        <f t="shared" si="5"/>
        <v>0.12169091897469918</v>
      </c>
      <c r="E56" s="129">
        <f t="shared" si="5"/>
        <v>0.10055261516292034</v>
      </c>
      <c r="F56" s="129">
        <f t="shared" si="5"/>
        <v>9.9638848624468715E-2</v>
      </c>
      <c r="G56" s="129">
        <f t="shared" si="5"/>
        <v>9.9600100210404177E-2</v>
      </c>
      <c r="H56" s="129">
        <f t="shared" si="5"/>
        <v>9.956236118438469E-2</v>
      </c>
      <c r="I56" s="129">
        <f t="shared" si="5"/>
        <v>9.9525809155962749E-2</v>
      </c>
      <c r="J56" s="129">
        <f t="shared" si="5"/>
        <v>9.9488382763553748E-2</v>
      </c>
    </row>
    <row r="57" spans="1:10" x14ac:dyDescent="0.25">
      <c r="A57" s="1" t="s">
        <v>27</v>
      </c>
      <c r="C57" s="34"/>
      <c r="D57" s="34"/>
      <c r="E57" s="34"/>
    </row>
    <row r="58" spans="1:10" x14ac:dyDescent="0.25">
      <c r="A58" s="1"/>
      <c r="B58" s="39" t="s">
        <v>29</v>
      </c>
      <c r="C58" s="29">
        <v>12778252</v>
      </c>
      <c r="D58" s="29">
        <v>14813393</v>
      </c>
      <c r="E58" s="29">
        <v>19205028</v>
      </c>
      <c r="F58" s="29">
        <f>'Depreciation Schedule'!F24</f>
        <v>24865000</v>
      </c>
      <c r="G58" s="29">
        <f>'Depreciation Schedule'!G24</f>
        <v>27152000</v>
      </c>
      <c r="H58" s="29">
        <f>'Depreciation Schedule'!H24</f>
        <v>29446000</v>
      </c>
      <c r="I58" s="29">
        <f>'Depreciation Schedule'!I24</f>
        <v>31309000</v>
      </c>
      <c r="J58" s="29">
        <f>'Depreciation Schedule'!J24</f>
        <v>33618000</v>
      </c>
    </row>
    <row r="59" spans="1:10" x14ac:dyDescent="0.25">
      <c r="A59" s="1"/>
      <c r="B59" s="39" t="s">
        <v>127</v>
      </c>
      <c r="C59" s="29">
        <v>2379083</v>
      </c>
      <c r="D59" s="29">
        <v>2802102</v>
      </c>
      <c r="E59" s="29">
        <v>1529632</v>
      </c>
      <c r="F59" s="29"/>
      <c r="G59" s="29"/>
      <c r="H59" s="29"/>
      <c r="I59" s="29"/>
      <c r="J59" s="29"/>
    </row>
    <row r="60" spans="1:10" s="1" customFormat="1" x14ac:dyDescent="0.25">
      <c r="A60" s="1" t="s">
        <v>28</v>
      </c>
      <c r="C60" s="123">
        <f t="shared" ref="C60:J60" si="6">SUM(C58:C59)</f>
        <v>15157335</v>
      </c>
      <c r="D60" s="123">
        <f t="shared" si="6"/>
        <v>17615495</v>
      </c>
      <c r="E60" s="123">
        <f t="shared" si="6"/>
        <v>20734660</v>
      </c>
      <c r="F60" s="123">
        <f t="shared" si="6"/>
        <v>24865000</v>
      </c>
      <c r="G60" s="123">
        <f t="shared" si="6"/>
        <v>27152000</v>
      </c>
      <c r="H60" s="123">
        <f t="shared" si="6"/>
        <v>29446000</v>
      </c>
      <c r="I60" s="123">
        <f t="shared" si="6"/>
        <v>31309000</v>
      </c>
      <c r="J60" s="123">
        <f t="shared" si="6"/>
        <v>33618000</v>
      </c>
    </row>
    <row r="61" spans="1:10" x14ac:dyDescent="0.25">
      <c r="A61" s="1"/>
      <c r="C61" s="34"/>
      <c r="D61" s="34"/>
      <c r="E61" s="34"/>
    </row>
    <row r="62" spans="1:10" s="1" customFormat="1" x14ac:dyDescent="0.25">
      <c r="A62" s="1" t="s">
        <v>30</v>
      </c>
      <c r="C62" s="123">
        <f t="shared" ref="C62:J62" si="7">C55-C60</f>
        <v>41439449</v>
      </c>
      <c r="D62" s="123">
        <f t="shared" si="7"/>
        <v>48422516</v>
      </c>
      <c r="E62" s="123">
        <f t="shared" si="7"/>
        <v>32297292</v>
      </c>
      <c r="F62" s="123">
        <f t="shared" si="7"/>
        <v>27858000</v>
      </c>
      <c r="G62" s="123">
        <f t="shared" si="7"/>
        <v>25724000</v>
      </c>
      <c r="H62" s="123">
        <f t="shared" si="7"/>
        <v>23584000</v>
      </c>
      <c r="I62" s="123">
        <f t="shared" si="7"/>
        <v>21876000</v>
      </c>
      <c r="J62" s="123">
        <f t="shared" si="7"/>
        <v>19722000</v>
      </c>
    </row>
    <row r="63" spans="1:10" s="129" customFormat="1" ht="12" x14ac:dyDescent="0.2">
      <c r="B63" s="129" t="s">
        <v>35</v>
      </c>
      <c r="C63" s="129">
        <f t="shared" ref="C63:J63" si="8">C62/C10</f>
        <v>7.9012952271271239E-2</v>
      </c>
      <c r="D63" s="129">
        <f t="shared" si="8"/>
        <v>8.9230132493043651E-2</v>
      </c>
      <c r="E63" s="129">
        <f t="shared" si="8"/>
        <v>6.1238122505474918E-2</v>
      </c>
      <c r="F63" s="129">
        <f t="shared" si="8"/>
        <v>5.2647592985612529E-2</v>
      </c>
      <c r="G63" s="129">
        <f t="shared" si="8"/>
        <v>4.8455120996528427E-2</v>
      </c>
      <c r="H63" s="129">
        <f t="shared" si="8"/>
        <v>4.4278308998161951E-2</v>
      </c>
      <c r="I63" s="129">
        <f t="shared" si="8"/>
        <v>4.0936854396838231E-2</v>
      </c>
      <c r="J63" s="129">
        <f t="shared" si="8"/>
        <v>3.6784962220900018E-2</v>
      </c>
    </row>
    <row r="64" spans="1:10" x14ac:dyDescent="0.25">
      <c r="A64" s="1" t="s">
        <v>31</v>
      </c>
      <c r="C64" s="34"/>
      <c r="D64" s="34"/>
      <c r="E64" s="34"/>
    </row>
    <row r="65" spans="1:10" x14ac:dyDescent="0.25">
      <c r="A65" s="33" t="s">
        <v>11</v>
      </c>
      <c r="C65" s="29">
        <v>1562304</v>
      </c>
      <c r="D65" s="29">
        <v>816319</v>
      </c>
      <c r="E65" s="29">
        <v>768592</v>
      </c>
      <c r="F65" s="29">
        <f ca="1">'Debt Schedule'!F32</f>
        <v>475854</v>
      </c>
      <c r="G65" s="29">
        <f ca="1">'Debt Schedule'!G32</f>
        <v>45228</v>
      </c>
      <c r="H65" s="29">
        <f ca="1">'Debt Schedule'!H32</f>
        <v>45228</v>
      </c>
      <c r="I65" s="29">
        <f ca="1">'Debt Schedule'!I32</f>
        <v>45228</v>
      </c>
      <c r="J65" s="29">
        <f ca="1">'Debt Schedule'!J32</f>
        <v>45228</v>
      </c>
    </row>
    <row r="66" spans="1:10" x14ac:dyDescent="0.25">
      <c r="A66" s="33" t="s">
        <v>12</v>
      </c>
      <c r="C66" s="29">
        <v>-32529354</v>
      </c>
      <c r="D66" s="29">
        <v>-32697477</v>
      </c>
      <c r="E66" s="29">
        <v>-22891176</v>
      </c>
      <c r="F66" s="29">
        <f ca="1">-'Debt Schedule'!F29</f>
        <v>-7535601.5</v>
      </c>
      <c r="G66" s="29">
        <f ca="1">-'Debt Schedule'!G29</f>
        <v>-6436143.0000000009</v>
      </c>
      <c r="H66" s="29">
        <f ca="1">-'Debt Schedule'!H29</f>
        <v>-5550678</v>
      </c>
      <c r="I66" s="29">
        <f ca="1">-'Debt Schedule'!I29</f>
        <v>-4589228</v>
      </c>
      <c r="J66" s="29">
        <f ca="1">-'Debt Schedule'!J29</f>
        <v>-3539368.0000000005</v>
      </c>
    </row>
    <row r="67" spans="1:10" s="1" customFormat="1" x14ac:dyDescent="0.25">
      <c r="A67" s="1" t="s">
        <v>32</v>
      </c>
      <c r="C67" s="123">
        <f t="shared" ref="C67:E67" si="9">SUM(C65:C66)</f>
        <v>-30967050</v>
      </c>
      <c r="D67" s="123">
        <f t="shared" si="9"/>
        <v>-31881158</v>
      </c>
      <c r="E67" s="123">
        <f t="shared" si="9"/>
        <v>-22122584</v>
      </c>
      <c r="F67" s="123">
        <f ca="1">ROUND(SUM(F65:F66), -3)</f>
        <v>-7060000</v>
      </c>
      <c r="G67" s="123">
        <f t="shared" ref="G67:J67" ca="1" si="10">ROUND(SUM(G65:G66), -3)</f>
        <v>-6391000</v>
      </c>
      <c r="H67" s="123">
        <f t="shared" ca="1" si="10"/>
        <v>-5505000</v>
      </c>
      <c r="I67" s="123">
        <f t="shared" ca="1" si="10"/>
        <v>-4544000</v>
      </c>
      <c r="J67" s="123">
        <f t="shared" ca="1" si="10"/>
        <v>-3494000</v>
      </c>
    </row>
    <row r="68" spans="1:10" x14ac:dyDescent="0.25">
      <c r="D68" s="35"/>
      <c r="E68" s="35"/>
    </row>
    <row r="69" spans="1:10" s="1" customFormat="1" x14ac:dyDescent="0.25">
      <c r="A69" s="1" t="s">
        <v>33</v>
      </c>
      <c r="C69" s="123">
        <f t="shared" ref="C69:J69" si="11">C62+C67</f>
        <v>10472399</v>
      </c>
      <c r="D69" s="123">
        <f t="shared" si="11"/>
        <v>16541358</v>
      </c>
      <c r="E69" s="123">
        <f t="shared" si="11"/>
        <v>10174708</v>
      </c>
      <c r="F69" s="123">
        <f t="shared" ca="1" si="11"/>
        <v>20798000</v>
      </c>
      <c r="G69" s="123">
        <f t="shared" ca="1" si="11"/>
        <v>19333000</v>
      </c>
      <c r="H69" s="123">
        <f t="shared" ca="1" si="11"/>
        <v>18079000</v>
      </c>
      <c r="I69" s="123">
        <f t="shared" ca="1" si="11"/>
        <v>17332000</v>
      </c>
      <c r="J69" s="123">
        <f t="shared" ca="1" si="11"/>
        <v>16228000</v>
      </c>
    </row>
    <row r="70" spans="1:10" s="129" customFormat="1" ht="12" x14ac:dyDescent="0.2">
      <c r="B70" s="129" t="s">
        <v>36</v>
      </c>
      <c r="C70" s="129">
        <f t="shared" ref="C70:J70" si="12">C69/C10</f>
        <v>1.9967812852741084E-2</v>
      </c>
      <c r="D70" s="129">
        <f t="shared" si="12"/>
        <v>3.0481430703742606E-2</v>
      </c>
      <c r="E70" s="129">
        <f t="shared" si="12"/>
        <v>1.9292020363856997E-2</v>
      </c>
      <c r="F70" s="129">
        <f t="shared" ca="1" si="12"/>
        <v>3.9305213544216004E-2</v>
      </c>
      <c r="G70" s="129">
        <f t="shared" ca="1" si="12"/>
        <v>3.6416686915949466E-2</v>
      </c>
      <c r="H70" s="129">
        <f t="shared" ca="1" si="12"/>
        <v>3.3942823455638142E-2</v>
      </c>
      <c r="I70" s="129">
        <f t="shared" ca="1" si="12"/>
        <v>3.2433605796580736E-2</v>
      </c>
      <c r="J70" s="129">
        <f t="shared" ca="1" si="12"/>
        <v>3.0268044159860334E-2</v>
      </c>
    </row>
    <row r="71" spans="1:10" s="1" customFormat="1" x14ac:dyDescent="0.25">
      <c r="C71" s="5"/>
      <c r="D71" s="5"/>
      <c r="E71" s="5"/>
      <c r="F71" s="5"/>
    </row>
    <row r="72" spans="1:10" x14ac:dyDescent="0.25">
      <c r="A72" s="33" t="s">
        <v>14</v>
      </c>
      <c r="C72" s="29">
        <v>1636395</v>
      </c>
      <c r="D72" s="29">
        <v>2925993</v>
      </c>
      <c r="E72" s="29">
        <v>6174129</v>
      </c>
      <c r="F72" s="163">
        <f ca="1">'Tax Schedule'!F61</f>
        <v>6077000</v>
      </c>
      <c r="G72" s="163">
        <f ca="1">'Tax Schedule'!K61</f>
        <v>6696000</v>
      </c>
      <c r="H72" s="163">
        <f ca="1">'Tax Schedule'!P61</f>
        <v>5608000</v>
      </c>
      <c r="I72" s="163">
        <f ca="1">'Tax Schedule'!U61</f>
        <v>-9784000</v>
      </c>
      <c r="J72" s="163">
        <f ca="1">'Tax Schedule'!Z61</f>
        <v>1082000</v>
      </c>
    </row>
    <row r="73" spans="1:10" x14ac:dyDescent="0.25">
      <c r="B73" s="33" t="s">
        <v>37</v>
      </c>
      <c r="C73" s="14">
        <f t="shared" ref="C73:E73" si="13">-C72/C69</f>
        <v>-0.15625789277127428</v>
      </c>
      <c r="D73" s="14">
        <f t="shared" si="13"/>
        <v>-0.17688952744992278</v>
      </c>
      <c r="E73" s="14">
        <f t="shared" si="13"/>
        <v>-0.60681141905988845</v>
      </c>
      <c r="F73" s="14">
        <v>0.3</v>
      </c>
      <c r="G73" s="14">
        <v>0.3</v>
      </c>
      <c r="H73" s="14">
        <v>0.3</v>
      </c>
      <c r="I73" s="14">
        <v>0.3</v>
      </c>
      <c r="J73" s="14">
        <v>0.3</v>
      </c>
    </row>
    <row r="74" spans="1:10" s="1" customFormat="1" x14ac:dyDescent="0.25">
      <c r="A74" s="1" t="s">
        <v>13</v>
      </c>
      <c r="C74" s="123">
        <f t="shared" ref="C74:J74" si="14">C69-C72</f>
        <v>8836004</v>
      </c>
      <c r="D74" s="123">
        <f t="shared" si="14"/>
        <v>13615365</v>
      </c>
      <c r="E74" s="123">
        <f t="shared" si="14"/>
        <v>4000579</v>
      </c>
      <c r="F74" s="123">
        <f t="shared" ca="1" si="14"/>
        <v>14721000</v>
      </c>
      <c r="G74" s="123">
        <f t="shared" ca="1" si="14"/>
        <v>12637000</v>
      </c>
      <c r="H74" s="123">
        <f t="shared" ca="1" si="14"/>
        <v>12471000</v>
      </c>
      <c r="I74" s="123">
        <f t="shared" ca="1" si="14"/>
        <v>27116000</v>
      </c>
      <c r="J74" s="123">
        <f t="shared" ca="1" si="14"/>
        <v>15146000</v>
      </c>
    </row>
    <row r="75" spans="1:10" x14ac:dyDescent="0.25">
      <c r="C75" s="33"/>
      <c r="D75" s="33"/>
      <c r="E75" s="33"/>
      <c r="G75" s="35"/>
    </row>
    <row r="76" spans="1:10" s="1" customFormat="1" x14ac:dyDescent="0.25">
      <c r="A76" s="1" t="s">
        <v>15</v>
      </c>
      <c r="C76" s="123">
        <f t="shared" ref="C76:J76" si="15">SUM(C74:C75)</f>
        <v>8836004</v>
      </c>
      <c r="D76" s="123">
        <f t="shared" si="15"/>
        <v>13615365</v>
      </c>
      <c r="E76" s="123">
        <f t="shared" si="15"/>
        <v>4000579</v>
      </c>
      <c r="F76" s="123">
        <f t="shared" ca="1" si="15"/>
        <v>14721000</v>
      </c>
      <c r="G76" s="123">
        <f t="shared" ca="1" si="15"/>
        <v>12637000</v>
      </c>
      <c r="H76" s="123">
        <f t="shared" ca="1" si="15"/>
        <v>12471000</v>
      </c>
      <c r="I76" s="123">
        <f t="shared" ca="1" si="15"/>
        <v>27116000</v>
      </c>
      <c r="J76" s="123">
        <f t="shared" ca="1" si="15"/>
        <v>15146000</v>
      </c>
    </row>
    <row r="77" spans="1:10" x14ac:dyDescent="0.25">
      <c r="B77" s="33" t="s">
        <v>39</v>
      </c>
      <c r="C77" s="4">
        <v>0</v>
      </c>
      <c r="D77" s="4">
        <v>0</v>
      </c>
      <c r="E77" s="4">
        <v>0</v>
      </c>
    </row>
    <row r="78" spans="1:10" x14ac:dyDescent="0.25">
      <c r="A78" s="131" t="s">
        <v>38</v>
      </c>
      <c r="C78" s="35"/>
    </row>
    <row r="79" spans="1:10" x14ac:dyDescent="0.25">
      <c r="B79" s="33" t="s">
        <v>40</v>
      </c>
      <c r="C79" s="35">
        <v>7961484</v>
      </c>
      <c r="D79" s="35">
        <v>12675321</v>
      </c>
      <c r="E79" s="35">
        <v>4108369</v>
      </c>
    </row>
    <row r="80" spans="1:10" x14ac:dyDescent="0.25">
      <c r="B80" s="33" t="s">
        <v>41</v>
      </c>
      <c r="C80" s="35">
        <v>874968</v>
      </c>
      <c r="D80" s="35">
        <v>940453</v>
      </c>
      <c r="E80" s="35">
        <v>-108223</v>
      </c>
    </row>
    <row r="81" spans="1:10" x14ac:dyDescent="0.25">
      <c r="B81" s="8" t="s">
        <v>42</v>
      </c>
      <c r="C81" s="9">
        <f>C80/C82</f>
        <v>9.9018022165457353E-2</v>
      </c>
      <c r="D81" s="9">
        <f>D80/D82</f>
        <v>6.9070843860951275E-2</v>
      </c>
      <c r="E81" s="9">
        <f>E80/E82</f>
        <v>-2.7054762501168707E-2</v>
      </c>
    </row>
    <row r="82" spans="1:10" x14ac:dyDescent="0.25">
      <c r="C82" s="10">
        <f>SUM(C79:C80)</f>
        <v>8836452</v>
      </c>
      <c r="D82" s="10">
        <f>SUM(D79:D80)</f>
        <v>13615774</v>
      </c>
      <c r="E82" s="10">
        <f>SUM(E79:E80)</f>
        <v>4000146</v>
      </c>
      <c r="F82" s="10">
        <f t="shared" ref="F82:J82" si="16">SUM(F79:F80)</f>
        <v>0</v>
      </c>
      <c r="G82" s="10">
        <f t="shared" si="16"/>
        <v>0</v>
      </c>
      <c r="H82" s="10">
        <f t="shared" si="16"/>
        <v>0</v>
      </c>
      <c r="I82" s="10">
        <f t="shared" si="16"/>
        <v>0</v>
      </c>
      <c r="J82" s="10">
        <f t="shared" si="16"/>
        <v>0</v>
      </c>
    </row>
    <row r="84" spans="1:10" x14ac:dyDescent="0.25">
      <c r="A84" s="131" t="s">
        <v>213</v>
      </c>
    </row>
    <row r="85" spans="1:10" x14ac:dyDescent="0.25">
      <c r="B85" s="33" t="s">
        <v>43</v>
      </c>
      <c r="C85" s="70">
        <f>303/100</f>
        <v>3.03</v>
      </c>
      <c r="D85" s="70">
        <f>483/100</f>
        <v>4.83</v>
      </c>
      <c r="E85" s="70">
        <f>100/100</f>
        <v>1</v>
      </c>
    </row>
    <row r="86" spans="1:10" x14ac:dyDescent="0.25">
      <c r="B86" s="33" t="s">
        <v>44</v>
      </c>
      <c r="C86" s="70">
        <f>303/100</f>
        <v>3.03</v>
      </c>
      <c r="D86" s="70">
        <f>483/100</f>
        <v>4.83</v>
      </c>
      <c r="E86" s="70">
        <f>100/100</f>
        <v>1</v>
      </c>
    </row>
    <row r="88" spans="1:10" x14ac:dyDescent="0.25">
      <c r="A88" s="131" t="s">
        <v>45</v>
      </c>
    </row>
    <row r="89" spans="1:10" x14ac:dyDescent="0.25">
      <c r="B89" s="33" t="s">
        <v>43</v>
      </c>
      <c r="C89" s="4">
        <f>C82/C85</f>
        <v>2916320.792079208</v>
      </c>
      <c r="D89" s="4">
        <f>D82/D85</f>
        <v>2819000.82815735</v>
      </c>
      <c r="E89" s="4">
        <f>E82/E85</f>
        <v>4000146</v>
      </c>
      <c r="F89" s="4">
        <f t="shared" ref="F89:J90" si="17">E89</f>
        <v>4000146</v>
      </c>
      <c r="G89" s="4">
        <f t="shared" si="17"/>
        <v>4000146</v>
      </c>
      <c r="H89" s="4">
        <f t="shared" si="17"/>
        <v>4000146</v>
      </c>
      <c r="I89" s="4">
        <f t="shared" si="17"/>
        <v>4000146</v>
      </c>
      <c r="J89" s="4">
        <f t="shared" si="17"/>
        <v>4000146</v>
      </c>
    </row>
    <row r="90" spans="1:10" x14ac:dyDescent="0.25">
      <c r="B90" s="33" t="s">
        <v>44</v>
      </c>
      <c r="C90" s="4">
        <f>C82/C86</f>
        <v>2916320.792079208</v>
      </c>
      <c r="D90" s="4">
        <f>D82/D86</f>
        <v>2819000.82815735</v>
      </c>
      <c r="E90" s="4">
        <f>E82/E86</f>
        <v>4000146</v>
      </c>
      <c r="F90" s="4">
        <f t="shared" si="17"/>
        <v>4000146</v>
      </c>
      <c r="G90" s="4">
        <f t="shared" si="17"/>
        <v>4000146</v>
      </c>
      <c r="H90" s="4">
        <f t="shared" si="17"/>
        <v>4000146</v>
      </c>
      <c r="I90" s="4">
        <f t="shared" si="17"/>
        <v>4000146</v>
      </c>
      <c r="J90" s="4">
        <f t="shared" si="17"/>
        <v>4000146</v>
      </c>
    </row>
    <row r="92" spans="1:10" x14ac:dyDescent="0.25">
      <c r="D92" s="14"/>
      <c r="E92" s="14"/>
    </row>
    <row r="93" spans="1:10" x14ac:dyDescent="0.25">
      <c r="D93" s="14"/>
      <c r="E93" s="14"/>
    </row>
    <row r="94" spans="1:10" x14ac:dyDescent="0.25">
      <c r="D94" s="14"/>
      <c r="E94" s="14"/>
    </row>
  </sheetData>
  <mergeCells count="2">
    <mergeCell ref="C3:E3"/>
    <mergeCell ref="F3:J3"/>
  </mergeCells>
  <pageMargins left="0.19685039370078741" right="0.19685039370078741" top="0.19685039370078741" bottom="0.15748031496062992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2" ySplit="4" topLeftCell="C52" activePane="bottomRight" state="frozen"/>
      <selection pane="topRight" activeCell="C1" sqref="C1"/>
      <selection pane="bottomLeft" activeCell="A5" sqref="A5"/>
      <selection pane="bottomRight" activeCell="F71" sqref="F71"/>
    </sheetView>
  </sheetViews>
  <sheetFormatPr defaultRowHeight="15" x14ac:dyDescent="0.25"/>
  <cols>
    <col min="1" max="1" width="2.5703125" style="33" customWidth="1"/>
    <col min="2" max="2" width="54.7109375" style="33" customWidth="1"/>
    <col min="3" max="5" width="17" style="11" customWidth="1"/>
    <col min="6" max="6" width="15.5703125" style="11" customWidth="1"/>
    <col min="7" max="10" width="15.5703125" style="33" customWidth="1"/>
    <col min="11" max="11" width="9.140625" style="33"/>
    <col min="12" max="12" width="9.5703125" style="33" bestFit="1" customWidth="1"/>
    <col min="13" max="16384" width="9.140625" style="33"/>
  </cols>
  <sheetData>
    <row r="1" spans="1:10" ht="26.25" x14ac:dyDescent="0.4">
      <c r="A1" s="120" t="str">
        <f>Cover!A2</f>
        <v>Flour Mills of  Nigeria PLC</v>
      </c>
      <c r="C1" s="80">
        <f>'Balance Sheet'!C1</f>
        <v>0</v>
      </c>
      <c r="D1" s="80">
        <f>'Balance Sheet'!D1</f>
        <v>0</v>
      </c>
      <c r="E1" s="80">
        <f>'Balance Sheet'!E1</f>
        <v>0</v>
      </c>
      <c r="F1" s="80">
        <f ca="1">'Balance Sheet'!F1</f>
        <v>0</v>
      </c>
      <c r="G1" s="80">
        <f ca="1">'Balance Sheet'!G1</f>
        <v>0</v>
      </c>
      <c r="H1" s="80">
        <f ca="1">'Balance Sheet'!H1</f>
        <v>0</v>
      </c>
      <c r="I1" s="80">
        <f ca="1">'Balance Sheet'!I1</f>
        <v>0</v>
      </c>
      <c r="J1" s="80">
        <f ca="1">'Balance Sheet'!J1</f>
        <v>0</v>
      </c>
    </row>
    <row r="2" spans="1:10" ht="18.75" x14ac:dyDescent="0.3">
      <c r="A2" s="1" t="s">
        <v>47</v>
      </c>
      <c r="B2" s="1"/>
    </row>
    <row r="3" spans="1:10" ht="15.75" thickBot="1" x14ac:dyDescent="0.3">
      <c r="C3" s="214" t="s">
        <v>198</v>
      </c>
      <c r="D3" s="214"/>
      <c r="E3" s="214"/>
      <c r="F3" s="216" t="s">
        <v>181</v>
      </c>
      <c r="G3" s="217"/>
      <c r="H3" s="217"/>
      <c r="I3" s="217"/>
      <c r="J3" s="218"/>
    </row>
    <row r="4" spans="1:10" ht="16.5" thickTop="1" thickBot="1" x14ac:dyDescent="0.3">
      <c r="A4" s="3" t="s">
        <v>46</v>
      </c>
      <c r="B4" s="3"/>
      <c r="C4" s="12" t="s">
        <v>2</v>
      </c>
      <c r="D4" s="12" t="s">
        <v>3</v>
      </c>
      <c r="E4" s="12" t="s">
        <v>4</v>
      </c>
      <c r="F4" s="12" t="s">
        <v>174</v>
      </c>
      <c r="G4" s="12" t="s">
        <v>175</v>
      </c>
      <c r="H4" s="12" t="s">
        <v>176</v>
      </c>
      <c r="I4" s="12" t="s">
        <v>177</v>
      </c>
      <c r="J4" s="12" t="s">
        <v>178</v>
      </c>
    </row>
    <row r="5" spans="1:10" ht="15.75" thickTop="1" x14ac:dyDescent="0.25">
      <c r="A5" s="1" t="s">
        <v>48</v>
      </c>
    </row>
    <row r="6" spans="1:10" x14ac:dyDescent="0.25">
      <c r="A6" s="33" t="s">
        <v>49</v>
      </c>
      <c r="C6" s="158">
        <v>8836452</v>
      </c>
      <c r="D6" s="158">
        <v>13615774</v>
      </c>
      <c r="E6" s="158">
        <v>4000146</v>
      </c>
      <c r="F6" s="158">
        <f ca="1">'Income Statement'!F74</f>
        <v>14721000</v>
      </c>
      <c r="G6" s="158">
        <f ca="1">'Income Statement'!G76</f>
        <v>12637000</v>
      </c>
      <c r="H6" s="158">
        <f ca="1">'Income Statement'!H76</f>
        <v>12471000</v>
      </c>
      <c r="I6" s="158">
        <f ca="1">'Income Statement'!I76</f>
        <v>27116000</v>
      </c>
      <c r="J6" s="158">
        <f ca="1">'Income Statement'!J76</f>
        <v>15146000</v>
      </c>
    </row>
    <row r="7" spans="1:10" x14ac:dyDescent="0.25">
      <c r="A7" s="33" t="s">
        <v>50</v>
      </c>
      <c r="C7" s="158"/>
      <c r="D7" s="158"/>
      <c r="E7" s="158"/>
      <c r="F7" s="158"/>
      <c r="G7" s="158"/>
      <c r="H7" s="158"/>
      <c r="I7" s="158"/>
      <c r="J7" s="158"/>
    </row>
    <row r="8" spans="1:10" ht="15" customHeight="1" x14ac:dyDescent="0.25">
      <c r="A8" s="36" t="s">
        <v>128</v>
      </c>
      <c r="B8" s="36"/>
      <c r="C8" s="158">
        <v>15544224</v>
      </c>
      <c r="D8" s="158">
        <v>17275658</v>
      </c>
      <c r="E8" s="158">
        <v>20353918</v>
      </c>
      <c r="F8" s="158">
        <f>'Income Statement'!F58</f>
        <v>24865000</v>
      </c>
      <c r="G8" s="158">
        <f>'Income Statement'!G58</f>
        <v>27152000</v>
      </c>
      <c r="H8" s="158">
        <f>'Income Statement'!H58</f>
        <v>29446000</v>
      </c>
      <c r="I8" s="158">
        <f>'Income Statement'!I58</f>
        <v>31309000</v>
      </c>
      <c r="J8" s="158">
        <f>'Income Statement'!J58</f>
        <v>33618000</v>
      </c>
    </row>
    <row r="9" spans="1:10" ht="15" customHeight="1" x14ac:dyDescent="0.25">
      <c r="B9" s="37" t="s">
        <v>129</v>
      </c>
      <c r="C9" s="158">
        <v>155310</v>
      </c>
      <c r="D9" s="158">
        <v>117682</v>
      </c>
      <c r="E9" s="158">
        <v>380740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</row>
    <row r="10" spans="1:10" ht="15" customHeight="1" x14ac:dyDescent="0.25">
      <c r="B10" s="37" t="s">
        <v>130</v>
      </c>
      <c r="C10" s="158">
        <v>103747</v>
      </c>
      <c r="D10" s="158">
        <v>101684</v>
      </c>
      <c r="E10" s="158">
        <v>104418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</row>
    <row r="11" spans="1:10" ht="15" customHeight="1" x14ac:dyDescent="0.25">
      <c r="B11" s="37" t="s">
        <v>131</v>
      </c>
      <c r="C11" s="158">
        <v>-77823</v>
      </c>
      <c r="D11" s="158">
        <v>52715</v>
      </c>
      <c r="E11" s="158">
        <v>2650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</row>
    <row r="12" spans="1:10" ht="15" customHeight="1" x14ac:dyDescent="0.25">
      <c r="B12" s="37" t="s">
        <v>132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</row>
    <row r="13" spans="1:10" x14ac:dyDescent="0.25">
      <c r="B13" s="37" t="s">
        <v>133</v>
      </c>
      <c r="C13" s="158">
        <v>0</v>
      </c>
      <c r="D13" s="158">
        <v>0</v>
      </c>
      <c r="E13" s="158">
        <v>-327976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</row>
    <row r="14" spans="1:10" x14ac:dyDescent="0.25">
      <c r="B14" s="37" t="s">
        <v>134</v>
      </c>
      <c r="C14" s="158">
        <v>-1562304</v>
      </c>
      <c r="D14" s="158">
        <v>-816319</v>
      </c>
      <c r="E14" s="158">
        <v>-768592</v>
      </c>
      <c r="F14" s="158">
        <f ca="1">-'Income Statement'!F65</f>
        <v>-475854</v>
      </c>
      <c r="G14" s="158">
        <f ca="1">-'Income Statement'!G65</f>
        <v>-45228</v>
      </c>
      <c r="H14" s="158">
        <f ca="1">-'Income Statement'!H65</f>
        <v>-45228</v>
      </c>
      <c r="I14" s="158">
        <f ca="1">-'Income Statement'!I65</f>
        <v>-45228</v>
      </c>
      <c r="J14" s="158">
        <f ca="1">-'Income Statement'!J65</f>
        <v>-45228</v>
      </c>
    </row>
    <row r="15" spans="1:10" x14ac:dyDescent="0.25">
      <c r="B15" s="37" t="s">
        <v>135</v>
      </c>
      <c r="C15" s="158">
        <v>32529354</v>
      </c>
      <c r="D15" s="158">
        <v>32697477</v>
      </c>
      <c r="E15" s="158">
        <v>22891176</v>
      </c>
      <c r="F15" s="158">
        <f ca="1">-'Income Statement'!F66</f>
        <v>7535601.5</v>
      </c>
      <c r="G15" s="158">
        <f ca="1">-'Income Statement'!G66</f>
        <v>6436143.0000000009</v>
      </c>
      <c r="H15" s="158">
        <f ca="1">-'Income Statement'!H66</f>
        <v>5550678</v>
      </c>
      <c r="I15" s="158">
        <f ca="1">-'Income Statement'!I66</f>
        <v>4589228</v>
      </c>
      <c r="J15" s="158">
        <f ca="1">-'Income Statement'!J66</f>
        <v>3539368.0000000005</v>
      </c>
    </row>
    <row r="16" spans="1:10" x14ac:dyDescent="0.25">
      <c r="B16" s="37" t="s">
        <v>136</v>
      </c>
      <c r="C16" s="158">
        <v>-1468381</v>
      </c>
      <c r="D16" s="158">
        <v>12303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</row>
    <row r="17" spans="1:10" x14ac:dyDescent="0.25">
      <c r="B17" s="36" t="s">
        <v>137</v>
      </c>
      <c r="C17" s="158">
        <v>1915278</v>
      </c>
      <c r="D17" s="158">
        <v>395168</v>
      </c>
      <c r="E17" s="158">
        <v>827170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</row>
    <row r="18" spans="1:10" x14ac:dyDescent="0.25">
      <c r="B18" s="37" t="s">
        <v>138</v>
      </c>
      <c r="C18" s="158">
        <v>-727323</v>
      </c>
      <c r="D18" s="158">
        <v>-171753</v>
      </c>
      <c r="E18" s="158">
        <v>358431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</row>
    <row r="19" spans="1:10" x14ac:dyDescent="0.25">
      <c r="B19" s="37" t="s">
        <v>139</v>
      </c>
      <c r="C19" s="158">
        <v>0</v>
      </c>
      <c r="D19" s="158">
        <v>24729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</row>
    <row r="20" spans="1:10" x14ac:dyDescent="0.25">
      <c r="B20" s="37" t="s">
        <v>140</v>
      </c>
      <c r="C20" s="146">
        <v>5742096</v>
      </c>
      <c r="D20" s="143">
        <v>5419878</v>
      </c>
      <c r="E20" s="143">
        <v>-4896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</row>
    <row r="21" spans="1:10" x14ac:dyDescent="0.25">
      <c r="B21" s="37" t="s">
        <v>141</v>
      </c>
      <c r="C21" s="146">
        <v>-755516</v>
      </c>
      <c r="D21" s="143">
        <v>-440383</v>
      </c>
      <c r="E21" s="143">
        <v>-182253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</row>
    <row r="22" spans="1:10" x14ac:dyDescent="0.25">
      <c r="B22" s="37" t="s">
        <v>142</v>
      </c>
      <c r="C22" s="146">
        <v>77360</v>
      </c>
      <c r="D22" s="143">
        <v>570813</v>
      </c>
      <c r="E22" s="143">
        <v>526318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</row>
    <row r="23" spans="1:10" x14ac:dyDescent="0.25">
      <c r="B23" s="37" t="s">
        <v>143</v>
      </c>
      <c r="C23" s="146">
        <v>981344</v>
      </c>
      <c r="D23" s="143">
        <v>959900</v>
      </c>
      <c r="E23" s="143">
        <v>1282085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</row>
    <row r="24" spans="1:10" x14ac:dyDescent="0.25">
      <c r="B24" s="37" t="s">
        <v>144</v>
      </c>
      <c r="C24" s="146">
        <v>1636395</v>
      </c>
      <c r="D24" s="143">
        <v>2925993</v>
      </c>
      <c r="E24" s="143">
        <f>5948513+225616</f>
        <v>6174129</v>
      </c>
      <c r="F24" s="158">
        <f ca="1">'Income Statement'!F72</f>
        <v>6077000</v>
      </c>
      <c r="G24" s="158">
        <f ca="1">'Income Statement'!G72</f>
        <v>6696000</v>
      </c>
      <c r="H24" s="158">
        <f ca="1">'Income Statement'!H72</f>
        <v>5608000</v>
      </c>
      <c r="I24" s="158">
        <f ca="1">'Income Statement'!I72</f>
        <v>-9784000</v>
      </c>
      <c r="J24" s="158">
        <f ca="1">'Income Statement'!J72</f>
        <v>1082000</v>
      </c>
    </row>
    <row r="25" spans="1:10" x14ac:dyDescent="0.25">
      <c r="A25" s="38" t="s">
        <v>51</v>
      </c>
      <c r="B25" s="36"/>
      <c r="C25" s="147"/>
      <c r="D25" s="145"/>
      <c r="E25" s="145"/>
      <c r="F25" s="158"/>
      <c r="G25" s="158"/>
      <c r="H25" s="158"/>
      <c r="I25" s="158"/>
      <c r="J25" s="158"/>
    </row>
    <row r="26" spans="1:10" x14ac:dyDescent="0.25">
      <c r="A26" s="36"/>
      <c r="B26" s="36" t="s">
        <v>67</v>
      </c>
      <c r="C26" s="146">
        <v>-58597394</v>
      </c>
      <c r="D26" s="148">
        <v>5298173</v>
      </c>
      <c r="E26" s="148">
        <v>-7814786</v>
      </c>
      <c r="F26" s="148">
        <f>-('Working Capital Schedule'!F6-'Working Capital Schedule'!E6)</f>
        <v>4290000</v>
      </c>
      <c r="G26" s="148">
        <f>-('Working Capital Schedule'!G6-'Working Capital Schedule'!F6)</f>
        <v>-377000</v>
      </c>
      <c r="H26" s="148">
        <f>-('Working Capital Schedule'!H6-'Working Capital Schedule'!G6)</f>
        <v>-378000</v>
      </c>
      <c r="I26" s="148">
        <f>-('Working Capital Schedule'!I6-'Working Capital Schedule'!H6)</f>
        <v>-380000</v>
      </c>
      <c r="J26" s="148">
        <f>-('Working Capital Schedule'!J6-'Working Capital Schedule'!I6)</f>
        <v>-381000</v>
      </c>
    </row>
    <row r="27" spans="1:10" x14ac:dyDescent="0.25">
      <c r="B27" s="37" t="s">
        <v>68</v>
      </c>
      <c r="C27" s="146">
        <v>-3425986</v>
      </c>
      <c r="D27" s="143">
        <v>1882857</v>
      </c>
      <c r="E27" s="143">
        <v>-8954820</v>
      </c>
      <c r="F27" s="143">
        <f>-('Working Capital Schedule'!F8-'Working Capital Schedule'!E8)</f>
        <v>4887000</v>
      </c>
      <c r="G27" s="143">
        <f>-('Working Capital Schedule'!G8-'Working Capital Schedule'!F8)</f>
        <v>-70000</v>
      </c>
      <c r="H27" s="143">
        <f>-('Working Capital Schedule'!H8-'Working Capital Schedule'!G8)</f>
        <v>-70000</v>
      </c>
      <c r="I27" s="143">
        <f>-('Working Capital Schedule'!I8-'Working Capital Schedule'!H8)</f>
        <v>-70000</v>
      </c>
      <c r="J27" s="143">
        <f>-('Working Capital Schedule'!J8-'Working Capital Schedule'!I8)</f>
        <v>-71000</v>
      </c>
    </row>
    <row r="28" spans="1:10" x14ac:dyDescent="0.25">
      <c r="B28" s="37" t="s">
        <v>145</v>
      </c>
      <c r="C28" s="146">
        <v>-56201536</v>
      </c>
      <c r="D28" s="143">
        <v>48555886</v>
      </c>
      <c r="E28" s="143">
        <v>2714332</v>
      </c>
      <c r="F28" s="143">
        <f>-('Working Capital Schedule'!F10-'Working Capital Schedule'!E10)</f>
        <v>-1799000</v>
      </c>
      <c r="G28" s="143">
        <f>-('Working Capital Schedule'!G10-'Working Capital Schedule'!F10)</f>
        <v>-65000</v>
      </c>
      <c r="H28" s="143">
        <f>-('Working Capital Schedule'!H10-'Working Capital Schedule'!G10)</f>
        <v>-65000</v>
      </c>
      <c r="I28" s="143">
        <f>-('Working Capital Schedule'!I10-'Working Capital Schedule'!H10)</f>
        <v>-65000</v>
      </c>
      <c r="J28" s="143">
        <f>-('Working Capital Schedule'!J10-'Working Capital Schedule'!I10)</f>
        <v>-66000</v>
      </c>
    </row>
    <row r="29" spans="1:10" x14ac:dyDescent="0.25">
      <c r="B29" s="37" t="s">
        <v>89</v>
      </c>
      <c r="C29" s="146">
        <v>44150256</v>
      </c>
      <c r="D29" s="143">
        <v>-43667812</v>
      </c>
      <c r="E29" s="143">
        <v>22046630</v>
      </c>
      <c r="F29" s="143">
        <f>'Working Capital Schedule'!F17-'Working Capital Schedule'!E17</f>
        <v>-7255000</v>
      </c>
      <c r="G29" s="143">
        <f>'Working Capital Schedule'!G17-'Working Capital Schedule'!F17</f>
        <v>236000</v>
      </c>
      <c r="H29" s="143">
        <f>'Working Capital Schedule'!H17-'Working Capital Schedule'!G17</f>
        <v>237000</v>
      </c>
      <c r="I29" s="143">
        <f>'Working Capital Schedule'!I17-'Working Capital Schedule'!H17</f>
        <v>238000</v>
      </c>
      <c r="J29" s="143">
        <f>'Working Capital Schedule'!J17-'Working Capital Schedule'!I17</f>
        <v>239000</v>
      </c>
    </row>
    <row r="30" spans="1:10" x14ac:dyDescent="0.25">
      <c r="B30" s="37" t="s">
        <v>91</v>
      </c>
      <c r="C30" s="146">
        <v>2537381</v>
      </c>
      <c r="D30" s="143">
        <v>988757</v>
      </c>
      <c r="E30" s="143">
        <v>7492624</v>
      </c>
      <c r="F30" s="145">
        <v>0</v>
      </c>
      <c r="G30" s="145">
        <v>0</v>
      </c>
      <c r="H30" s="145">
        <v>0</v>
      </c>
      <c r="I30" s="145">
        <v>0</v>
      </c>
      <c r="J30" s="146">
        <v>0</v>
      </c>
    </row>
    <row r="31" spans="1:10" x14ac:dyDescent="0.25">
      <c r="B31" s="37" t="s">
        <v>146</v>
      </c>
      <c r="C31" s="142">
        <v>0</v>
      </c>
      <c r="D31" s="143">
        <v>44550</v>
      </c>
      <c r="E31" s="144">
        <v>0</v>
      </c>
      <c r="F31" s="145">
        <v>0</v>
      </c>
      <c r="G31" s="145">
        <v>0</v>
      </c>
      <c r="H31" s="145">
        <v>0</v>
      </c>
      <c r="I31" s="145">
        <v>0</v>
      </c>
      <c r="J31" s="146">
        <v>0</v>
      </c>
    </row>
    <row r="32" spans="1:10" x14ac:dyDescent="0.25">
      <c r="B32" s="37" t="s">
        <v>93</v>
      </c>
      <c r="C32" s="146">
        <v>1423233</v>
      </c>
      <c r="D32" s="143">
        <v>-1251558</v>
      </c>
      <c r="E32" s="143">
        <v>4193566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</row>
    <row r="33" spans="1:12" x14ac:dyDescent="0.25">
      <c r="B33" s="37" t="s">
        <v>147</v>
      </c>
      <c r="C33" s="142">
        <v>0</v>
      </c>
      <c r="D33" s="142">
        <v>0</v>
      </c>
      <c r="E33" s="143">
        <v>-15773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</row>
    <row r="34" spans="1:12" x14ac:dyDescent="0.25">
      <c r="B34" s="37" t="s">
        <v>148</v>
      </c>
      <c r="C34" s="146">
        <v>-621269</v>
      </c>
      <c r="D34" s="143">
        <v>-1306617</v>
      </c>
      <c r="E34" s="143">
        <v>-2583747</v>
      </c>
      <c r="F34" s="145">
        <f ca="1">'Tax Schedule'!F68</f>
        <v>-5172000</v>
      </c>
      <c r="G34" s="145">
        <f ca="1">'Tax Schedule'!K68</f>
        <v>-5485000</v>
      </c>
      <c r="H34" s="145">
        <f ca="1">'Tax Schedule'!P68</f>
        <v>-5455000</v>
      </c>
      <c r="I34" s="145">
        <f ca="1">'Tax Schedule'!U68</f>
        <v>-5327000</v>
      </c>
      <c r="J34" s="145">
        <f ca="1">'Tax Schedule'!Z68</f>
        <v>-5098000</v>
      </c>
    </row>
    <row r="35" spans="1:12" x14ac:dyDescent="0.25">
      <c r="B35" s="37" t="s">
        <v>149</v>
      </c>
      <c r="C35" s="146">
        <v>-99174</v>
      </c>
      <c r="D35" s="143">
        <v>-191385</v>
      </c>
      <c r="E35" s="143">
        <v>-291474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</row>
    <row r="36" spans="1:12" x14ac:dyDescent="0.25">
      <c r="B36" s="37" t="s">
        <v>150</v>
      </c>
      <c r="C36" s="146">
        <v>-229726</v>
      </c>
      <c r="D36" s="143">
        <v>-341159</v>
      </c>
      <c r="E36" s="143">
        <v>-164792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</row>
    <row r="37" spans="1:12" x14ac:dyDescent="0.25">
      <c r="B37" s="37" t="s">
        <v>53</v>
      </c>
      <c r="C37" s="146">
        <v>-5795397</v>
      </c>
      <c r="D37" s="146">
        <v>0</v>
      </c>
      <c r="E37" s="143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</row>
    <row r="38" spans="1:12" s="1" customFormat="1" x14ac:dyDescent="0.25">
      <c r="B38" s="38" t="s">
        <v>266</v>
      </c>
      <c r="C38" s="149">
        <f t="shared" ref="C38:E38" si="0">SUM(C26:C37)</f>
        <v>-76859612</v>
      </c>
      <c r="D38" s="149">
        <f t="shared" si="0"/>
        <v>10011692</v>
      </c>
      <c r="E38" s="149">
        <f t="shared" si="0"/>
        <v>16621760</v>
      </c>
      <c r="F38" s="149">
        <f ca="1">SUM(F26:F37)</f>
        <v>-5049000</v>
      </c>
      <c r="G38" s="149">
        <f t="shared" ref="G38:J38" ca="1" si="1">SUM(G26:G37)</f>
        <v>-5761000</v>
      </c>
      <c r="H38" s="149">
        <f t="shared" ca="1" si="1"/>
        <v>-5731000</v>
      </c>
      <c r="I38" s="149">
        <f t="shared" ca="1" si="1"/>
        <v>-5604000</v>
      </c>
      <c r="J38" s="149">
        <f t="shared" ca="1" si="1"/>
        <v>-5377000</v>
      </c>
    </row>
    <row r="39" spans="1:12" x14ac:dyDescent="0.25">
      <c r="B39" s="37"/>
      <c r="C39" s="146"/>
      <c r="D39" s="146"/>
      <c r="E39" s="143"/>
      <c r="F39" s="145"/>
      <c r="G39" s="146"/>
      <c r="H39" s="146"/>
      <c r="I39" s="146"/>
      <c r="J39" s="146"/>
    </row>
    <row r="40" spans="1:12" ht="15.75" thickBot="1" x14ac:dyDescent="0.3">
      <c r="B40" s="37"/>
      <c r="C40" s="146"/>
      <c r="D40" s="146"/>
      <c r="E40" s="143"/>
      <c r="F40" s="145"/>
      <c r="G40" s="146"/>
      <c r="H40" s="146"/>
      <c r="I40" s="146"/>
      <c r="J40" s="146"/>
    </row>
    <row r="41" spans="1:12" ht="15.75" thickBot="1" x14ac:dyDescent="0.3">
      <c r="A41" s="38" t="s">
        <v>151</v>
      </c>
      <c r="B41" s="37"/>
      <c r="C41" s="150">
        <f t="shared" ref="C41:J41" si="2">SUM(C6:C37)</f>
        <v>-13929399</v>
      </c>
      <c r="D41" s="150">
        <f t="shared" si="2"/>
        <v>82753011</v>
      </c>
      <c r="E41" s="150">
        <f t="shared" si="2"/>
        <v>72239224</v>
      </c>
      <c r="F41" s="150">
        <f t="shared" ca="1" si="2"/>
        <v>47673747.5</v>
      </c>
      <c r="G41" s="150">
        <f t="shared" ca="1" si="2"/>
        <v>47114915</v>
      </c>
      <c r="H41" s="150">
        <f t="shared" ca="1" si="2"/>
        <v>47299450</v>
      </c>
      <c r="I41" s="150">
        <f t="shared" ca="1" si="2"/>
        <v>47581000</v>
      </c>
      <c r="J41" s="150">
        <f t="shared" ca="1" si="2"/>
        <v>47963140</v>
      </c>
    </row>
    <row r="42" spans="1:12" x14ac:dyDescent="0.25">
      <c r="B42" s="37"/>
      <c r="C42" s="142"/>
      <c r="D42" s="145"/>
      <c r="E42" s="145"/>
      <c r="F42" s="145"/>
      <c r="G42" s="146"/>
      <c r="H42" s="146"/>
      <c r="I42" s="146"/>
      <c r="J42" s="146"/>
    </row>
    <row r="43" spans="1:12" x14ac:dyDescent="0.25">
      <c r="A43" s="135" t="s">
        <v>152</v>
      </c>
      <c r="B43" s="38"/>
      <c r="C43" s="151"/>
      <c r="D43" s="145"/>
      <c r="E43" s="145"/>
      <c r="F43" s="145"/>
      <c r="G43" s="146"/>
      <c r="H43" s="146"/>
      <c r="I43" s="146"/>
      <c r="J43" s="146"/>
    </row>
    <row r="44" spans="1:12" x14ac:dyDescent="0.25">
      <c r="A44" s="37" t="s">
        <v>153</v>
      </c>
      <c r="B44" s="37"/>
      <c r="C44" s="146">
        <v>-21016212</v>
      </c>
      <c r="D44" s="143">
        <v>-21398545</v>
      </c>
      <c r="E44" s="143">
        <v>-26223342</v>
      </c>
      <c r="F44" s="145">
        <f>ROUND('Income Statement'!F10*CashFlow!F54, -3)</f>
        <v>-22793000</v>
      </c>
      <c r="G44" s="145">
        <f>ROUND('Income Statement'!G10*CashFlow!G54, -3)</f>
        <v>-22868000</v>
      </c>
      <c r="H44" s="145">
        <f>ROUND('Income Statement'!H10*CashFlow!H54, -3)</f>
        <v>-22943000</v>
      </c>
      <c r="I44" s="145">
        <f>ROUND('Income Statement'!I10*CashFlow!I54, -3)</f>
        <v>-23019000</v>
      </c>
      <c r="J44" s="145">
        <f>ROUND('Income Statement'!J10*CashFlow!J54, -3)</f>
        <v>-23094000</v>
      </c>
    </row>
    <row r="45" spans="1:12" x14ac:dyDescent="0.25">
      <c r="A45" s="36" t="s">
        <v>154</v>
      </c>
      <c r="B45" s="36"/>
      <c r="C45" s="146">
        <v>222446</v>
      </c>
      <c r="D45" s="148">
        <v>2790863</v>
      </c>
      <c r="E45" s="148">
        <v>2223481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L45" s="110"/>
    </row>
    <row r="46" spans="1:12" x14ac:dyDescent="0.25">
      <c r="A46" s="37" t="s">
        <v>155</v>
      </c>
      <c r="B46" s="37"/>
      <c r="C46" s="146">
        <v>-42492</v>
      </c>
      <c r="D46" s="143">
        <v>-13219</v>
      </c>
      <c r="E46" s="143">
        <v>-330363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</row>
    <row r="47" spans="1:12" x14ac:dyDescent="0.25">
      <c r="A47" s="37" t="s">
        <v>54</v>
      </c>
      <c r="B47" s="37"/>
      <c r="C47" s="146">
        <v>-9564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</row>
    <row r="48" spans="1:12" x14ac:dyDescent="0.25">
      <c r="A48" s="37" t="s">
        <v>156</v>
      </c>
      <c r="B48" s="37"/>
      <c r="C48" s="146">
        <v>674345</v>
      </c>
      <c r="D48" s="143">
        <v>-27398</v>
      </c>
      <c r="E48" s="143">
        <v>-969873</v>
      </c>
      <c r="F48" s="145">
        <f>-'Depreciation Schedule'!F66-'Depreciation Schedule'!F69</f>
        <v>-35000</v>
      </c>
      <c r="G48" s="145">
        <f>-'Depreciation Schedule'!G66-'Depreciation Schedule'!G69</f>
        <v>-10000</v>
      </c>
      <c r="H48" s="145">
        <f>-'Depreciation Schedule'!H66-'Depreciation Schedule'!H69</f>
        <v>-2000</v>
      </c>
      <c r="I48" s="145">
        <f>-'Depreciation Schedule'!I66-'Depreciation Schedule'!I69</f>
        <v>-1000</v>
      </c>
      <c r="J48" s="145">
        <f>-'Depreciation Schedule'!J66-'Depreciation Schedule'!J69</f>
        <v>0</v>
      </c>
    </row>
    <row r="49" spans="1:10" x14ac:dyDescent="0.25">
      <c r="A49" s="37" t="s">
        <v>157</v>
      </c>
      <c r="B49" s="37"/>
      <c r="C49" s="145">
        <v>0</v>
      </c>
      <c r="D49" s="145">
        <v>0</v>
      </c>
      <c r="E49" s="143">
        <v>-586396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</row>
    <row r="50" spans="1:10" x14ac:dyDescent="0.25">
      <c r="A50" s="37" t="s">
        <v>158</v>
      </c>
      <c r="B50" s="37"/>
      <c r="C50" s="145">
        <v>0</v>
      </c>
      <c r="D50" s="145">
        <v>0</v>
      </c>
      <c r="E50" s="143">
        <v>128661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</row>
    <row r="51" spans="1:10" x14ac:dyDescent="0.25">
      <c r="A51" s="37" t="s">
        <v>159</v>
      </c>
      <c r="B51" s="37"/>
      <c r="C51" s="146">
        <v>1562304</v>
      </c>
      <c r="D51" s="143">
        <v>816319</v>
      </c>
      <c r="E51" s="143">
        <v>768592</v>
      </c>
      <c r="F51" s="145">
        <f ca="1">'Income Statement'!F65</f>
        <v>475854</v>
      </c>
      <c r="G51" s="145">
        <f ca="1">'Income Statement'!G65</f>
        <v>45228</v>
      </c>
      <c r="H51" s="145">
        <f ca="1">'Income Statement'!H65</f>
        <v>45228</v>
      </c>
      <c r="I51" s="145">
        <f ca="1">'Income Statement'!I65</f>
        <v>45228</v>
      </c>
      <c r="J51" s="145">
        <f ca="1">'Income Statement'!J65</f>
        <v>45228</v>
      </c>
    </row>
    <row r="52" spans="1:10" ht="15.75" thickBot="1" x14ac:dyDescent="0.3">
      <c r="A52" s="37" t="s">
        <v>160</v>
      </c>
      <c r="B52" s="37"/>
      <c r="C52" s="145"/>
      <c r="D52" s="145"/>
      <c r="E52" s="145"/>
      <c r="F52" s="145"/>
      <c r="G52" s="146"/>
      <c r="H52" s="146"/>
      <c r="I52" s="146"/>
      <c r="J52" s="146"/>
    </row>
    <row r="53" spans="1:10" s="1" customFormat="1" ht="15.75" thickBot="1" x14ac:dyDescent="0.3">
      <c r="A53" s="38" t="s">
        <v>52</v>
      </c>
      <c r="B53" s="38"/>
      <c r="C53" s="150">
        <f t="shared" ref="C53:J53" si="3">SUM(C44:C51)</f>
        <v>-18609173</v>
      </c>
      <c r="D53" s="150">
        <f t="shared" si="3"/>
        <v>-17831980</v>
      </c>
      <c r="E53" s="150">
        <f t="shared" si="3"/>
        <v>-24989240</v>
      </c>
      <c r="F53" s="150">
        <f t="shared" ca="1" si="3"/>
        <v>-22352146</v>
      </c>
      <c r="G53" s="150">
        <f t="shared" ca="1" si="3"/>
        <v>-22832772</v>
      </c>
      <c r="H53" s="150">
        <f t="shared" ca="1" si="3"/>
        <v>-22899772</v>
      </c>
      <c r="I53" s="150">
        <f t="shared" ca="1" si="3"/>
        <v>-22974772</v>
      </c>
      <c r="J53" s="150">
        <f t="shared" ca="1" si="3"/>
        <v>-23048772</v>
      </c>
    </row>
    <row r="54" spans="1:10" x14ac:dyDescent="0.25">
      <c r="B54" s="32" t="s">
        <v>179</v>
      </c>
      <c r="C54" s="141">
        <f>C44/'Income Statement'!C10</f>
        <v>-4.0071791390829496E-2</v>
      </c>
      <c r="D54" s="141">
        <f>D44/'Income Statement'!D10</f>
        <v>-3.9431966019864741E-2</v>
      </c>
      <c r="E54" s="141">
        <f>E44/'Income Statement'!E10</f>
        <v>-4.9721451256624416E-2</v>
      </c>
      <c r="F54" s="141">
        <f>AVERAGE($C$54,$D$54,$E$54)</f>
        <v>-4.3075069555772887E-2</v>
      </c>
      <c r="G54" s="141">
        <f>AVERAGE($C$54,$D$54,$E$54)</f>
        <v>-4.3075069555772887E-2</v>
      </c>
      <c r="H54" s="141">
        <f>AVERAGE($C$54,$D$54,$E$54)</f>
        <v>-4.3075069555772887E-2</v>
      </c>
      <c r="I54" s="141">
        <f>AVERAGE($C$54,$D$54,$E$54)</f>
        <v>-4.3075069555772887E-2</v>
      </c>
      <c r="J54" s="141">
        <f>AVERAGE($C$54,$D$54,$E$54)</f>
        <v>-4.3075069555772887E-2</v>
      </c>
    </row>
    <row r="55" spans="1:10" x14ac:dyDescent="0.25">
      <c r="C55" s="145"/>
      <c r="D55" s="145"/>
      <c r="E55" s="145"/>
      <c r="F55" s="145"/>
      <c r="G55" s="146"/>
      <c r="H55" s="146"/>
      <c r="I55" s="146"/>
      <c r="J55" s="146"/>
    </row>
    <row r="56" spans="1:10" x14ac:dyDescent="0.25">
      <c r="A56" s="38" t="s">
        <v>161</v>
      </c>
      <c r="B56" s="38"/>
      <c r="C56" s="145"/>
      <c r="D56" s="145"/>
      <c r="E56" s="145"/>
      <c r="F56" s="145"/>
      <c r="G56" s="146"/>
      <c r="H56" s="146"/>
      <c r="I56" s="146"/>
      <c r="J56" s="146"/>
    </row>
    <row r="57" spans="1:10" x14ac:dyDescent="0.25">
      <c r="B57" s="37" t="s">
        <v>162</v>
      </c>
      <c r="C57" s="145">
        <v>0</v>
      </c>
      <c r="D57" s="143">
        <v>39302975</v>
      </c>
      <c r="E57" s="144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</row>
    <row r="58" spans="1:10" x14ac:dyDescent="0.25">
      <c r="B58" s="37" t="s">
        <v>163</v>
      </c>
      <c r="C58" s="146">
        <v>176925100</v>
      </c>
      <c r="D58" s="143">
        <v>301531571</v>
      </c>
      <c r="E58" s="143">
        <v>362092863</v>
      </c>
      <c r="F58" s="145">
        <f ca="1">IF('Debt Schedule'!F28&lt;0,0,'Debt Schedule'!F28)</f>
        <v>0</v>
      </c>
      <c r="G58" s="145">
        <f ca="1">IF('Debt Schedule'!G28&lt;0,0,'Debt Schedule'!G28)</f>
        <v>0</v>
      </c>
      <c r="H58" s="145">
        <f ca="1">IF('Debt Schedule'!H28&lt;0,0,'Debt Schedule'!H28)</f>
        <v>0</v>
      </c>
      <c r="I58" s="145">
        <f ca="1">IF('Debt Schedule'!I28&lt;0,0,'Debt Schedule'!I28)</f>
        <v>0</v>
      </c>
      <c r="J58" s="145">
        <f ca="1">IF('Debt Schedule'!J28&lt;0,0,'Debt Schedule'!J28)</f>
        <v>0</v>
      </c>
    </row>
    <row r="59" spans="1:10" x14ac:dyDescent="0.25">
      <c r="B59" s="37" t="s">
        <v>294</v>
      </c>
      <c r="C59" s="146">
        <v>-133183965</v>
      </c>
      <c r="D59" s="143">
        <v>-360013797</v>
      </c>
      <c r="E59" s="152">
        <v>-378107786</v>
      </c>
      <c r="F59" s="145">
        <f ca="1">IF('Debt Schedule'!F28&lt;0,'Debt Schedule'!F28,0)</f>
        <v>-19265100</v>
      </c>
      <c r="G59" s="145">
        <f ca="1">IF('Debt Schedule'!G28&lt;0,'Debt Schedule'!G28,0)</f>
        <v>-12148000</v>
      </c>
      <c r="H59" s="145">
        <f ca="1">IF('Debt Schedule'!H28&lt;0,'Debt Schedule'!H28,0)</f>
        <v>-13151000</v>
      </c>
      <c r="I59" s="145">
        <f ca="1">IF('Debt Schedule'!I28&lt;0,'Debt Schedule'!I28,0)</f>
        <v>-14319000</v>
      </c>
      <c r="J59" s="145">
        <f ca="1">IF('Debt Schedule'!J28&lt;0,'Debt Schedule'!J28,0)</f>
        <v>-15677000</v>
      </c>
    </row>
    <row r="60" spans="1:10" x14ac:dyDescent="0.25">
      <c r="B60" s="37" t="s">
        <v>295</v>
      </c>
      <c r="C60" s="145">
        <v>0</v>
      </c>
      <c r="D60" s="145">
        <v>0</v>
      </c>
      <c r="E60" s="145">
        <v>0</v>
      </c>
      <c r="F60" s="145"/>
      <c r="G60" s="145"/>
      <c r="H60" s="145"/>
      <c r="I60" s="145"/>
      <c r="J60" s="145"/>
    </row>
    <row r="61" spans="1:10" x14ac:dyDescent="0.25">
      <c r="B61" s="37" t="s">
        <v>164</v>
      </c>
      <c r="C61" s="145">
        <v>0</v>
      </c>
      <c r="D61" s="143">
        <v>-1683000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</row>
    <row r="62" spans="1:10" x14ac:dyDescent="0.25">
      <c r="B62" s="37" t="s">
        <v>165</v>
      </c>
      <c r="C62" s="145">
        <v>0</v>
      </c>
      <c r="D62" s="145">
        <v>0</v>
      </c>
      <c r="E62" s="143">
        <v>2030700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</row>
    <row r="63" spans="1:10" x14ac:dyDescent="0.25">
      <c r="B63" s="37" t="s">
        <v>166</v>
      </c>
      <c r="C63" s="146">
        <v>-2971314</v>
      </c>
      <c r="D63" s="143">
        <v>-2838587</v>
      </c>
      <c r="E63" s="143">
        <v>-5488599</v>
      </c>
      <c r="F63" s="145">
        <f>'Dividend Schedule'!F8</f>
        <v>-5698000</v>
      </c>
      <c r="G63" s="145">
        <f>'Dividend Schedule'!G8</f>
        <v>-5698000</v>
      </c>
      <c r="H63" s="145">
        <f>'Dividend Schedule'!H8</f>
        <v>-5698000</v>
      </c>
      <c r="I63" s="145">
        <f>'Dividend Schedule'!I8</f>
        <v>-5698000</v>
      </c>
      <c r="J63" s="145">
        <f>'Dividend Schedule'!J8</f>
        <v>-5698000</v>
      </c>
    </row>
    <row r="64" spans="1:10" s="72" customFormat="1" x14ac:dyDescent="0.25">
      <c r="A64" s="71"/>
      <c r="B64" s="71" t="s">
        <v>212</v>
      </c>
      <c r="C64" s="157">
        <f>-C63/'Income Statement'!C89</f>
        <v>1.0188570503183858</v>
      </c>
      <c r="D64" s="157">
        <f>-D63/'Income Statement'!D89</f>
        <v>1.0069479127664722</v>
      </c>
      <c r="E64" s="157">
        <f>-E63/'Income Statement'!E89</f>
        <v>1.3720996683621047</v>
      </c>
      <c r="F64" s="157">
        <v>1</v>
      </c>
      <c r="G64" s="157">
        <v>1</v>
      </c>
      <c r="H64" s="157">
        <v>1</v>
      </c>
      <c r="I64" s="157">
        <v>1</v>
      </c>
      <c r="J64" s="157">
        <v>1</v>
      </c>
    </row>
    <row r="65" spans="1:10" x14ac:dyDescent="0.25">
      <c r="B65" s="37" t="s">
        <v>167</v>
      </c>
      <c r="C65" s="145">
        <v>0</v>
      </c>
      <c r="D65" s="143">
        <v>216465</v>
      </c>
      <c r="E65" s="143">
        <v>352200</v>
      </c>
      <c r="F65" s="145">
        <v>0</v>
      </c>
      <c r="G65" s="145">
        <v>0</v>
      </c>
      <c r="H65" s="145">
        <v>0</v>
      </c>
      <c r="I65" s="145">
        <v>0</v>
      </c>
      <c r="J65" s="145">
        <v>0</v>
      </c>
    </row>
    <row r="66" spans="1:10" ht="15.75" thickBot="1" x14ac:dyDescent="0.3">
      <c r="B66" s="37" t="s">
        <v>168</v>
      </c>
      <c r="C66" s="146">
        <v>-29036615</v>
      </c>
      <c r="D66" s="143">
        <v>-32697477</v>
      </c>
      <c r="E66" s="143">
        <v>-22891176</v>
      </c>
      <c r="F66" s="145">
        <f ca="1">'Income Statement'!F66</f>
        <v>-7535601.5</v>
      </c>
      <c r="G66" s="145">
        <f ca="1">'Income Statement'!G66</f>
        <v>-6436143.0000000009</v>
      </c>
      <c r="H66" s="145">
        <f ca="1">'Income Statement'!H66</f>
        <v>-5550678</v>
      </c>
      <c r="I66" s="145">
        <f ca="1">'Income Statement'!I66</f>
        <v>-4589228</v>
      </c>
      <c r="J66" s="145">
        <f ca="1">'Income Statement'!J66</f>
        <v>-3539368.0000000005</v>
      </c>
    </row>
    <row r="67" spans="1:10" s="1" customFormat="1" ht="15.75" thickBot="1" x14ac:dyDescent="0.3">
      <c r="A67" s="38" t="s">
        <v>169</v>
      </c>
      <c r="B67" s="38"/>
      <c r="C67" s="153">
        <f>SUM(C66,C65,C63,C62,C61,C59,C58,C57,)</f>
        <v>11733206</v>
      </c>
      <c r="D67" s="153">
        <f t="shared" ref="D67:J67" si="4">SUM(D66,D65,D63,D62,D61,D59,D58,D57,)</f>
        <v>-56181850</v>
      </c>
      <c r="E67" s="153">
        <f t="shared" si="4"/>
        <v>-42011798</v>
      </c>
      <c r="F67" s="153">
        <f t="shared" ca="1" si="4"/>
        <v>-32498701.5</v>
      </c>
      <c r="G67" s="153">
        <f t="shared" ca="1" si="4"/>
        <v>-24282143</v>
      </c>
      <c r="H67" s="153">
        <f t="shared" ca="1" si="4"/>
        <v>-24399678</v>
      </c>
      <c r="I67" s="153">
        <f t="shared" ca="1" si="4"/>
        <v>-24606228</v>
      </c>
      <c r="J67" s="153">
        <f t="shared" ca="1" si="4"/>
        <v>-24914368</v>
      </c>
    </row>
    <row r="68" spans="1:10" x14ac:dyDescent="0.25">
      <c r="A68" s="38"/>
      <c r="B68" s="38"/>
      <c r="C68" s="145"/>
      <c r="D68" s="145"/>
      <c r="E68" s="145"/>
      <c r="F68" s="145"/>
      <c r="G68" s="145"/>
      <c r="H68" s="145"/>
      <c r="I68" s="146"/>
      <c r="J68" s="146"/>
    </row>
    <row r="69" spans="1:10" x14ac:dyDescent="0.25">
      <c r="A69" s="38" t="s">
        <v>170</v>
      </c>
      <c r="B69" s="38"/>
      <c r="C69" s="154">
        <f t="shared" ref="C69:J69" si="5">SUM(C67,C53,C41)</f>
        <v>-20805366</v>
      </c>
      <c r="D69" s="154">
        <f t="shared" si="5"/>
        <v>8739181</v>
      </c>
      <c r="E69" s="154">
        <f t="shared" si="5"/>
        <v>5238186</v>
      </c>
      <c r="F69" s="154">
        <f t="shared" ca="1" si="5"/>
        <v>-7177100</v>
      </c>
      <c r="G69" s="154">
        <f t="shared" ca="1" si="5"/>
        <v>0</v>
      </c>
      <c r="H69" s="154">
        <f t="shared" ca="1" si="5"/>
        <v>0</v>
      </c>
      <c r="I69" s="154">
        <f t="shared" ca="1" si="5"/>
        <v>0</v>
      </c>
      <c r="J69" s="154">
        <f t="shared" ca="1" si="5"/>
        <v>0</v>
      </c>
    </row>
    <row r="70" spans="1:10" x14ac:dyDescent="0.25">
      <c r="B70" s="37" t="s">
        <v>171</v>
      </c>
      <c r="C70" s="146">
        <v>16800057</v>
      </c>
      <c r="D70" s="145">
        <f t="shared" ref="D70:J70" si="6">C72</f>
        <v>-4005309</v>
      </c>
      <c r="E70" s="145">
        <f t="shared" si="6"/>
        <v>2311327</v>
      </c>
      <c r="F70" s="145">
        <f>ROUND(E72, -3)</f>
        <v>7554000</v>
      </c>
      <c r="G70" s="145">
        <f t="shared" ca="1" si="6"/>
        <v>376900</v>
      </c>
      <c r="H70" s="145">
        <f t="shared" ca="1" si="6"/>
        <v>376900</v>
      </c>
      <c r="I70" s="145">
        <f t="shared" ca="1" si="6"/>
        <v>376900</v>
      </c>
      <c r="J70" s="145">
        <f t="shared" ca="1" si="6"/>
        <v>376900</v>
      </c>
    </row>
    <row r="71" spans="1:10" ht="15.75" thickBot="1" x14ac:dyDescent="0.3">
      <c r="B71" s="37" t="s">
        <v>172</v>
      </c>
      <c r="C71" s="145"/>
      <c r="D71" s="155">
        <v>-2422545</v>
      </c>
      <c r="E71" s="155">
        <v>4895</v>
      </c>
      <c r="F71" s="145"/>
      <c r="G71" s="145"/>
      <c r="H71" s="145"/>
      <c r="I71" s="145"/>
      <c r="J71" s="145"/>
    </row>
    <row r="72" spans="1:10" ht="15.75" thickBot="1" x14ac:dyDescent="0.3">
      <c r="A72" s="38" t="s">
        <v>173</v>
      </c>
      <c r="B72" s="38"/>
      <c r="C72" s="156">
        <f t="shared" ref="C72:J72" si="7">SUM(C69:C71)</f>
        <v>-4005309</v>
      </c>
      <c r="D72" s="156">
        <f t="shared" si="7"/>
        <v>2311327</v>
      </c>
      <c r="E72" s="156">
        <f t="shared" si="7"/>
        <v>7554408</v>
      </c>
      <c r="F72" s="156">
        <f t="shared" ca="1" si="7"/>
        <v>376900</v>
      </c>
      <c r="G72" s="156">
        <f t="shared" ca="1" si="7"/>
        <v>376900</v>
      </c>
      <c r="H72" s="156">
        <f t="shared" ca="1" si="7"/>
        <v>376900</v>
      </c>
      <c r="I72" s="156">
        <f t="shared" ca="1" si="7"/>
        <v>376900</v>
      </c>
      <c r="J72" s="156">
        <f t="shared" ca="1" si="7"/>
        <v>376900</v>
      </c>
    </row>
    <row r="73" spans="1:10" ht="15.75" thickTop="1" x14ac:dyDescent="0.25">
      <c r="G73" s="14"/>
    </row>
    <row r="74" spans="1:10" x14ac:dyDescent="0.25">
      <c r="A74" s="33" t="s">
        <v>263</v>
      </c>
      <c r="F74" s="11">
        <f ca="1">SUM(F41,F53,F67)-F58-F59</f>
        <v>12088000</v>
      </c>
      <c r="G74" s="11">
        <f t="shared" ref="G74:J74" ca="1" si="8">SUM(G41,G53,G67)-G58-G59</f>
        <v>12148000</v>
      </c>
      <c r="H74" s="11">
        <f t="shared" ca="1" si="8"/>
        <v>13151000</v>
      </c>
      <c r="I74" s="11">
        <f t="shared" ca="1" si="8"/>
        <v>14319000</v>
      </c>
      <c r="J74" s="11">
        <f t="shared" ca="1" si="8"/>
        <v>15677000</v>
      </c>
    </row>
    <row r="75" spans="1:10" x14ac:dyDescent="0.25">
      <c r="G75" s="11"/>
      <c r="H75" s="11"/>
      <c r="I75" s="11"/>
      <c r="J75" s="11"/>
    </row>
    <row r="76" spans="1:10" x14ac:dyDescent="0.25">
      <c r="A76" s="131" t="s">
        <v>264</v>
      </c>
    </row>
    <row r="77" spans="1:10" x14ac:dyDescent="0.25">
      <c r="B77" s="2" t="s">
        <v>228</v>
      </c>
      <c r="D77" s="136">
        <v>22245372</v>
      </c>
      <c r="E77" s="136">
        <v>17205546</v>
      </c>
    </row>
    <row r="78" spans="1:10" ht="15.75" thickBot="1" x14ac:dyDescent="0.3">
      <c r="B78" s="2" t="s">
        <v>229</v>
      </c>
      <c r="C78" s="103"/>
      <c r="D78" s="137">
        <v>-19934045</v>
      </c>
      <c r="E78" s="137">
        <v>-9651138</v>
      </c>
    </row>
    <row r="79" spans="1:10" x14ac:dyDescent="0.25">
      <c r="A79" s="38" t="s">
        <v>173</v>
      </c>
      <c r="B79" s="1"/>
      <c r="C79" s="13"/>
      <c r="D79" s="13">
        <f>SUM(D77:D78)</f>
        <v>2311327</v>
      </c>
      <c r="E79" s="13">
        <f>SUM(E77:E78)</f>
        <v>7554408</v>
      </c>
    </row>
  </sheetData>
  <mergeCells count="2">
    <mergeCell ref="C3:E3"/>
    <mergeCell ref="F3:J3"/>
  </mergeCells>
  <pageMargins left="0.25" right="0.25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G50" sqref="G50"/>
    </sheetView>
  </sheetViews>
  <sheetFormatPr defaultRowHeight="15" x14ac:dyDescent="0.25"/>
  <cols>
    <col min="1" max="1" width="1.7109375" style="2" customWidth="1"/>
    <col min="2" max="2" width="41.28515625" style="2" customWidth="1"/>
    <col min="3" max="3" width="13.5703125" style="17" customWidth="1"/>
    <col min="4" max="10" width="13.5703125" style="2" customWidth="1"/>
    <col min="11" max="11" width="16.7109375" style="2" customWidth="1"/>
    <col min="12" max="16384" width="9.140625" style="2"/>
  </cols>
  <sheetData>
    <row r="1" spans="1:10" ht="26.25" x14ac:dyDescent="0.4">
      <c r="A1" s="120" t="str">
        <f>Cover!A2</f>
        <v>Flour Mills of  Nigeria PLC</v>
      </c>
      <c r="C1" s="80">
        <f>C58</f>
        <v>0</v>
      </c>
      <c r="D1" s="80">
        <f t="shared" ref="D1:E1" si="0">D58</f>
        <v>0</v>
      </c>
      <c r="E1" s="80">
        <f t="shared" si="0"/>
        <v>0</v>
      </c>
      <c r="F1" s="80">
        <f ca="1">F58</f>
        <v>0</v>
      </c>
      <c r="G1" s="64">
        <f t="shared" ref="G1:J1" ca="1" si="1">G58</f>
        <v>0</v>
      </c>
      <c r="H1" s="64">
        <f t="shared" ca="1" si="1"/>
        <v>0</v>
      </c>
      <c r="I1" s="64">
        <f t="shared" ca="1" si="1"/>
        <v>0</v>
      </c>
      <c r="J1" s="64">
        <f t="shared" ca="1" si="1"/>
        <v>0</v>
      </c>
    </row>
    <row r="2" spans="1:10" ht="18.75" x14ac:dyDescent="0.3">
      <c r="A2" s="1" t="s">
        <v>255</v>
      </c>
      <c r="B2" s="1"/>
      <c r="C2" s="15"/>
      <c r="D2" s="11"/>
      <c r="E2" s="11"/>
    </row>
    <row r="3" spans="1:10" x14ac:dyDescent="0.25">
      <c r="C3" s="214" t="s">
        <v>198</v>
      </c>
      <c r="D3" s="214"/>
      <c r="E3" s="214"/>
      <c r="F3" s="215" t="s">
        <v>209</v>
      </c>
      <c r="G3" s="215"/>
      <c r="H3" s="215"/>
      <c r="I3" s="215"/>
      <c r="J3" s="215"/>
    </row>
    <row r="4" spans="1:10" ht="15.75" thickBot="1" x14ac:dyDescent="0.3">
      <c r="A4" s="3" t="s">
        <v>46</v>
      </c>
      <c r="B4" s="3"/>
      <c r="C4" s="105" t="s">
        <v>2</v>
      </c>
      <c r="D4" s="111" t="s">
        <v>3</v>
      </c>
      <c r="E4" s="111" t="s">
        <v>4</v>
      </c>
      <c r="F4" s="111" t="s">
        <v>174</v>
      </c>
      <c r="G4" s="111" t="s">
        <v>175</v>
      </c>
      <c r="H4" s="111" t="s">
        <v>176</v>
      </c>
      <c r="I4" s="111" t="s">
        <v>177</v>
      </c>
      <c r="J4" s="111" t="s">
        <v>178</v>
      </c>
    </row>
    <row r="5" spans="1:10" ht="15.75" thickTop="1" x14ac:dyDescent="0.25">
      <c r="A5" s="1" t="s">
        <v>55</v>
      </c>
      <c r="D5" s="18"/>
      <c r="E5" s="18"/>
    </row>
    <row r="6" spans="1:10" x14ac:dyDescent="0.25">
      <c r="B6" s="2" t="s">
        <v>56</v>
      </c>
      <c r="C6" s="17">
        <v>216866184</v>
      </c>
      <c r="D6" s="18">
        <v>217901400</v>
      </c>
      <c r="E6" s="18">
        <f>ROUND(221465325, -3)</f>
        <v>221465000</v>
      </c>
      <c r="F6" s="63">
        <f>ROUND(E6-CashFlow!F44-CashFlow!F8, -3)</f>
        <v>219393000</v>
      </c>
      <c r="G6" s="63">
        <f>F6-CashFlow!G44-CashFlow!G8</f>
        <v>215109000</v>
      </c>
      <c r="H6" s="63">
        <f>G6-CashFlow!H44-CashFlow!H8</f>
        <v>208606000</v>
      </c>
      <c r="I6" s="63">
        <f>H6-CashFlow!I44-CashFlow!I8</f>
        <v>200316000</v>
      </c>
      <c r="J6" s="63">
        <f>I6-CashFlow!J44-CashFlow!J8</f>
        <v>189792000</v>
      </c>
    </row>
    <row r="7" spans="1:10" x14ac:dyDescent="0.25">
      <c r="B7" s="2" t="s">
        <v>57</v>
      </c>
      <c r="C7" s="17">
        <v>1929196</v>
      </c>
      <c r="D7" s="18">
        <v>1841977</v>
      </c>
      <c r="E7" s="18">
        <f>ROUND(1737559, -3)</f>
        <v>1738000</v>
      </c>
      <c r="F7" s="17">
        <f>E7-CashFlow!F10</f>
        <v>1738000</v>
      </c>
      <c r="G7" s="17">
        <f>F7-CashFlow!G10</f>
        <v>1738000</v>
      </c>
      <c r="H7" s="17">
        <f>G7-CashFlow!H10</f>
        <v>1738000</v>
      </c>
      <c r="I7" s="17">
        <f>H7-CashFlow!I10</f>
        <v>1738000</v>
      </c>
      <c r="J7" s="17">
        <f>I7-CashFlow!J10</f>
        <v>1738000</v>
      </c>
    </row>
    <row r="8" spans="1:10" x14ac:dyDescent="0.25">
      <c r="B8" s="2" t="s">
        <v>58</v>
      </c>
      <c r="C8" s="17">
        <v>4148022</v>
      </c>
      <c r="D8" s="18">
        <v>4148022</v>
      </c>
      <c r="E8" s="18">
        <f>ROUND(4148022, -3)</f>
        <v>4148000</v>
      </c>
      <c r="F8" s="63">
        <f>E8-CashFlow!F12</f>
        <v>4148000</v>
      </c>
      <c r="G8" s="63">
        <f>F8-CashFlow!G12</f>
        <v>4148000</v>
      </c>
      <c r="H8" s="63">
        <f>G8-CashFlow!H12</f>
        <v>4148000</v>
      </c>
      <c r="I8" s="63">
        <f>H8-CashFlow!I12</f>
        <v>4148000</v>
      </c>
      <c r="J8" s="63">
        <f>I8-CashFlow!J12</f>
        <v>4148000</v>
      </c>
    </row>
    <row r="9" spans="1:10" x14ac:dyDescent="0.25">
      <c r="B9" s="2" t="s">
        <v>59</v>
      </c>
      <c r="C9" s="17">
        <v>208370</v>
      </c>
      <c r="D9" s="18">
        <v>1095317</v>
      </c>
      <c r="E9" s="18">
        <f>ROUND(1316670, -3)</f>
        <v>1317000</v>
      </c>
      <c r="F9" s="63">
        <f>E9</f>
        <v>1317000</v>
      </c>
      <c r="G9" s="63">
        <f>F9</f>
        <v>1317000</v>
      </c>
      <c r="H9" s="63">
        <f>G9</f>
        <v>1317000</v>
      </c>
      <c r="I9" s="63">
        <f>H9</f>
        <v>1317000</v>
      </c>
      <c r="J9" s="63">
        <f>I9</f>
        <v>1317000</v>
      </c>
    </row>
    <row r="10" spans="1:10" x14ac:dyDescent="0.25">
      <c r="B10" s="2" t="s">
        <v>60</v>
      </c>
      <c r="C10" s="17">
        <v>0</v>
      </c>
      <c r="D10" s="17">
        <v>0</v>
      </c>
      <c r="E10" s="17">
        <v>0</v>
      </c>
      <c r="F10" s="17">
        <f>E10</f>
        <v>0</v>
      </c>
      <c r="G10" s="17">
        <f t="shared" ref="G10:J10" si="2">F10</f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</row>
    <row r="11" spans="1:10" x14ac:dyDescent="0.25">
      <c r="B11" s="2" t="s">
        <v>61</v>
      </c>
      <c r="C11" s="17">
        <v>29131</v>
      </c>
      <c r="D11" s="18">
        <v>37710</v>
      </c>
      <c r="E11" s="18">
        <f>ROUND(111784, -3)</f>
        <v>112000</v>
      </c>
      <c r="F11" s="18">
        <f>'Depreciation Schedule'!F77</f>
        <v>142000</v>
      </c>
      <c r="G11" s="18">
        <f>'Depreciation Schedule'!G77</f>
        <v>150000</v>
      </c>
      <c r="H11" s="18">
        <f>'Depreciation Schedule'!H77</f>
        <v>152000</v>
      </c>
      <c r="I11" s="18">
        <f>'Depreciation Schedule'!I77</f>
        <v>153000</v>
      </c>
      <c r="J11" s="18">
        <f>'Depreciation Schedule'!J77</f>
        <v>153000</v>
      </c>
    </row>
    <row r="12" spans="1:10" x14ac:dyDescent="0.25">
      <c r="B12" s="2" t="s">
        <v>62</v>
      </c>
      <c r="C12" s="17">
        <v>1846674</v>
      </c>
      <c r="D12" s="18">
        <v>6459761</v>
      </c>
      <c r="E12" s="18">
        <f>ROUND(3963819-3963819, -3)</f>
        <v>0</v>
      </c>
      <c r="F12" s="63">
        <f ca="1">IF(-'Tax Schedule'!F48&lt;0,'Tax Schedule'!F48,0)</f>
        <v>0</v>
      </c>
      <c r="G12" s="63">
        <f ca="1">IF(-'Tax Schedule'!K48&lt;0,'Tax Schedule'!K48,0)</f>
        <v>0</v>
      </c>
      <c r="H12" s="63">
        <f ca="1">IF(-'Tax Schedule'!P48&lt;0,'Tax Schedule'!P48,0)</f>
        <v>0</v>
      </c>
      <c r="I12" s="63">
        <f ca="1">IF(-'Tax Schedule'!U48&lt;0,'Tax Schedule'!U48,0)</f>
        <v>7442000</v>
      </c>
      <c r="J12" s="63">
        <f ca="1">IF(-'Tax Schedule'!Z48&lt;0,'Tax Schedule'!Z48,0)</f>
        <v>11228000</v>
      </c>
    </row>
    <row r="13" spans="1:10" x14ac:dyDescent="0.25">
      <c r="B13" s="2" t="s">
        <v>63</v>
      </c>
      <c r="C13" s="17">
        <v>989022</v>
      </c>
      <c r="D13" s="18">
        <v>944472</v>
      </c>
      <c r="E13" s="18">
        <f>ROUND(1402210, -3)</f>
        <v>1402000</v>
      </c>
      <c r="F13" s="63">
        <f>E13-CashFlow!F31</f>
        <v>1402000</v>
      </c>
      <c r="G13" s="63">
        <f>F13-CashFlow!G31</f>
        <v>1402000</v>
      </c>
      <c r="H13" s="63">
        <f>G13-CashFlow!H31</f>
        <v>1402000</v>
      </c>
      <c r="I13" s="63">
        <f>H13-CashFlow!I31</f>
        <v>1402000</v>
      </c>
      <c r="J13" s="63">
        <f>I13-CashFlow!J31</f>
        <v>1402000</v>
      </c>
    </row>
    <row r="14" spans="1:10" x14ac:dyDescent="0.25">
      <c r="B14" s="2" t="s">
        <v>64</v>
      </c>
      <c r="C14" s="17">
        <v>24140</v>
      </c>
      <c r="D14" s="18">
        <v>62900</v>
      </c>
      <c r="E14" s="18">
        <f>ROUND(41140, -3)</f>
        <v>41000</v>
      </c>
      <c r="F14" s="63">
        <f>E14</f>
        <v>41000</v>
      </c>
      <c r="G14" s="63">
        <f t="shared" ref="G14:J14" si="3">F14</f>
        <v>41000</v>
      </c>
      <c r="H14" s="63">
        <f t="shared" si="3"/>
        <v>41000</v>
      </c>
      <c r="I14" s="63">
        <f t="shared" si="3"/>
        <v>41000</v>
      </c>
      <c r="J14" s="63">
        <f t="shared" si="3"/>
        <v>41000</v>
      </c>
    </row>
    <row r="15" spans="1:10" ht="15.75" thickBot="1" x14ac:dyDescent="0.3">
      <c r="B15" s="2" t="s">
        <v>65</v>
      </c>
      <c r="C15" s="17">
        <v>1679252</v>
      </c>
      <c r="D15" s="18">
        <v>1610730</v>
      </c>
      <c r="E15" s="18">
        <f>ROUND(2365692, -3)</f>
        <v>2366000</v>
      </c>
      <c r="F15" s="63">
        <f>E15</f>
        <v>2366000</v>
      </c>
      <c r="G15" s="63">
        <f t="shared" ref="G15:J15" si="4">F15</f>
        <v>2366000</v>
      </c>
      <c r="H15" s="63">
        <f t="shared" si="4"/>
        <v>2366000</v>
      </c>
      <c r="I15" s="63">
        <f t="shared" si="4"/>
        <v>2366000</v>
      </c>
      <c r="J15" s="63">
        <f t="shared" si="4"/>
        <v>2366000</v>
      </c>
    </row>
    <row r="16" spans="1:10" ht="15.75" thickBot="1" x14ac:dyDescent="0.3">
      <c r="A16" s="1" t="s">
        <v>66</v>
      </c>
      <c r="C16" s="19">
        <f>SUM(C6:C15)</f>
        <v>227719991</v>
      </c>
      <c r="D16" s="20">
        <f>SUM(D6:D15)</f>
        <v>234102289</v>
      </c>
      <c r="E16" s="20">
        <f>SUM(E6:E15)</f>
        <v>232589000</v>
      </c>
      <c r="F16" s="20">
        <f t="shared" ref="F16:J16" ca="1" si="5">SUM(F6:F15)</f>
        <v>230547000</v>
      </c>
      <c r="G16" s="20">
        <f t="shared" ca="1" si="5"/>
        <v>226271000</v>
      </c>
      <c r="H16" s="20">
        <f t="shared" ca="1" si="5"/>
        <v>219770000</v>
      </c>
      <c r="I16" s="20">
        <f t="shared" ca="1" si="5"/>
        <v>218923000</v>
      </c>
      <c r="J16" s="20">
        <f t="shared" ca="1" si="5"/>
        <v>212185000</v>
      </c>
    </row>
    <row r="17" spans="1:10" x14ac:dyDescent="0.25">
      <c r="F17" s="26"/>
      <c r="G17" s="26"/>
      <c r="H17" s="26"/>
      <c r="I17" s="26"/>
      <c r="J17" s="26"/>
    </row>
    <row r="18" spans="1:10" x14ac:dyDescent="0.25">
      <c r="B18" s="2" t="s">
        <v>67</v>
      </c>
      <c r="C18" s="21">
        <v>117296162</v>
      </c>
      <c r="D18" s="18">
        <v>111373409</v>
      </c>
      <c r="E18" s="18">
        <f>ROUND(118867186, -3)</f>
        <v>118867000</v>
      </c>
      <c r="F18" s="26">
        <f>E18-CashFlow!F26</f>
        <v>114577000</v>
      </c>
      <c r="G18" s="26">
        <f>F18-CashFlow!G26</f>
        <v>114954000</v>
      </c>
      <c r="H18" s="26">
        <f>G18-CashFlow!H26</f>
        <v>115332000</v>
      </c>
      <c r="I18" s="26">
        <f>H18-CashFlow!I26</f>
        <v>115712000</v>
      </c>
      <c r="J18" s="26">
        <f>I18-CashFlow!J26</f>
        <v>116093000</v>
      </c>
    </row>
    <row r="19" spans="1:10" x14ac:dyDescent="0.25">
      <c r="B19" s="2" t="s">
        <v>61</v>
      </c>
      <c r="C19" s="21">
        <v>558480</v>
      </c>
      <c r="D19" s="18">
        <v>179653</v>
      </c>
      <c r="E19" s="18">
        <f>ROUND(18498, -3)</f>
        <v>18000</v>
      </c>
      <c r="F19" s="26">
        <f>'Working Capital Schedule'!F12</f>
        <v>23000</v>
      </c>
      <c r="G19" s="26">
        <f>'Working Capital Schedule'!G12</f>
        <v>25000</v>
      </c>
      <c r="H19" s="26">
        <f>'Working Capital Schedule'!H12</f>
        <v>25000</v>
      </c>
      <c r="I19" s="26">
        <f>'Working Capital Schedule'!I12</f>
        <v>25000</v>
      </c>
      <c r="J19" s="26">
        <f>'Working Capital Schedule'!J12</f>
        <v>25000</v>
      </c>
    </row>
    <row r="20" spans="1:10" x14ac:dyDescent="0.25">
      <c r="B20" s="2" t="s">
        <v>68</v>
      </c>
      <c r="C20" s="21">
        <v>21403132</v>
      </c>
      <c r="D20" s="18">
        <v>19083085</v>
      </c>
      <c r="E20" s="18">
        <f>ROUND(26085312, -3)</f>
        <v>26085000</v>
      </c>
      <c r="F20" s="26">
        <f>E20-CashFlow!F27</f>
        <v>21198000</v>
      </c>
      <c r="G20" s="26">
        <f>F20-CashFlow!G27</f>
        <v>21268000</v>
      </c>
      <c r="H20" s="26">
        <f>G20-CashFlow!H27</f>
        <v>21338000</v>
      </c>
      <c r="I20" s="26">
        <f>H20-CashFlow!I27</f>
        <v>21408000</v>
      </c>
      <c r="J20" s="26">
        <f>I20-CashFlow!J27</f>
        <v>21479000</v>
      </c>
    </row>
    <row r="21" spans="1:10" x14ac:dyDescent="0.25">
      <c r="B21" s="2" t="s">
        <v>69</v>
      </c>
      <c r="C21" s="21">
        <v>755516</v>
      </c>
      <c r="D21" s="18">
        <v>0</v>
      </c>
      <c r="E21" s="18">
        <f>ROUND(198026, -3)</f>
        <v>198000</v>
      </c>
      <c r="F21" s="26">
        <f>E21</f>
        <v>198000</v>
      </c>
      <c r="G21" s="26">
        <f t="shared" ref="G21:J21" si="6">F21</f>
        <v>198000</v>
      </c>
      <c r="H21" s="26">
        <f t="shared" si="6"/>
        <v>198000</v>
      </c>
      <c r="I21" s="26">
        <f t="shared" si="6"/>
        <v>198000</v>
      </c>
      <c r="J21" s="26">
        <f t="shared" si="6"/>
        <v>198000</v>
      </c>
    </row>
    <row r="22" spans="1:10" x14ac:dyDescent="0.25">
      <c r="B22" s="2" t="s">
        <v>65</v>
      </c>
      <c r="C22" s="21">
        <v>69851473</v>
      </c>
      <c r="D22" s="18">
        <v>21364109</v>
      </c>
      <c r="E22" s="18">
        <f>ROUND(17894815, -3)</f>
        <v>17895000</v>
      </c>
      <c r="F22" s="26">
        <f>E22-CashFlow!F28</f>
        <v>19694000</v>
      </c>
      <c r="G22" s="26">
        <f>F22-CashFlow!G28</f>
        <v>19759000</v>
      </c>
      <c r="H22" s="26">
        <f>G22-CashFlow!H28</f>
        <v>19824000</v>
      </c>
      <c r="I22" s="26">
        <f>H22-CashFlow!I28</f>
        <v>19889000</v>
      </c>
      <c r="J22" s="26">
        <f>I22-CashFlow!J28</f>
        <v>19955000</v>
      </c>
    </row>
    <row r="23" spans="1:10" ht="15.75" thickBot="1" x14ac:dyDescent="0.3">
      <c r="B23" s="2" t="s">
        <v>70</v>
      </c>
      <c r="C23" s="21">
        <v>45018503</v>
      </c>
      <c r="D23" s="18">
        <v>22245372</v>
      </c>
      <c r="E23" s="18">
        <f>ROUND(17205546, -3)</f>
        <v>17206000</v>
      </c>
      <c r="F23" s="26">
        <f ca="1">ROUND(CashFlow!F72,-3)</f>
        <v>377000</v>
      </c>
      <c r="G23" s="26">
        <f ca="1">ROUND(CashFlow!G72,-3)</f>
        <v>377000</v>
      </c>
      <c r="H23" s="26">
        <f ca="1">ROUND(CashFlow!H72,-3)</f>
        <v>377000</v>
      </c>
      <c r="I23" s="26">
        <f ca="1">ROUND(CashFlow!I72,-3)</f>
        <v>377000</v>
      </c>
      <c r="J23" s="26">
        <f ca="1">ROUND(CashFlow!J72,-3)</f>
        <v>377000</v>
      </c>
    </row>
    <row r="24" spans="1:10" s="1" customFormat="1" ht="15.75" thickBot="1" x14ac:dyDescent="0.3">
      <c r="A24" s="1" t="s">
        <v>71</v>
      </c>
      <c r="C24" s="22">
        <f>SUM(C18,C19,C20,C21,C22,C23)</f>
        <v>254883266</v>
      </c>
      <c r="D24" s="22">
        <f>SUM(D18,D19,D20,D21,D22,D23)</f>
        <v>174245628</v>
      </c>
      <c r="E24" s="22">
        <f>SUM(E18,E19,E20,E21,E22,E23)</f>
        <v>180269000</v>
      </c>
      <c r="F24" s="22">
        <f t="shared" ref="F24" ca="1" si="7">SUM(F18,F19,F20,F21,F22,F23)</f>
        <v>156067000</v>
      </c>
      <c r="G24" s="22">
        <f t="shared" ref="G24" ca="1" si="8">SUM(G18,G19,G20,G21,G22,G23)</f>
        <v>156581000</v>
      </c>
      <c r="H24" s="22">
        <f t="shared" ref="H24" ca="1" si="9">SUM(H18,H19,H20,H21,H22,H23)</f>
        <v>157094000</v>
      </c>
      <c r="I24" s="22">
        <f t="shared" ref="I24" ca="1" si="10">SUM(I18,I19,I20,I21,I22,I23)</f>
        <v>157609000</v>
      </c>
      <c r="J24" s="22">
        <f t="shared" ref="J24" ca="1" si="11">SUM(J18,J19,J20,J21,J22,J23)</f>
        <v>158127000</v>
      </c>
    </row>
    <row r="25" spans="1:10" s="1" customFormat="1" x14ac:dyDescent="0.25">
      <c r="C25" s="23"/>
      <c r="D25" s="24"/>
      <c r="E25" s="24"/>
    </row>
    <row r="26" spans="1:10" s="1" customFormat="1" ht="15.75" thickBot="1" x14ac:dyDescent="0.3">
      <c r="A26" s="1" t="s">
        <v>72</v>
      </c>
      <c r="C26" s="25">
        <f>SUM(C24,C16)</f>
        <v>482603257</v>
      </c>
      <c r="D26" s="25">
        <f>SUM(D24,D16)</f>
        <v>408347917</v>
      </c>
      <c r="E26" s="25">
        <f>SUM(E24,E16)</f>
        <v>412858000</v>
      </c>
      <c r="F26" s="25">
        <f t="shared" ref="F26:J26" ca="1" si="12">SUM(F24,F16)</f>
        <v>386614000</v>
      </c>
      <c r="G26" s="25">
        <f t="shared" ca="1" si="12"/>
        <v>382852000</v>
      </c>
      <c r="H26" s="25">
        <f t="shared" ca="1" si="12"/>
        <v>376864000</v>
      </c>
      <c r="I26" s="25">
        <f t="shared" ca="1" si="12"/>
        <v>376532000</v>
      </c>
      <c r="J26" s="25">
        <f t="shared" ca="1" si="12"/>
        <v>370312000</v>
      </c>
    </row>
    <row r="27" spans="1:10" ht="15.75" thickTop="1" x14ac:dyDescent="0.25"/>
    <row r="28" spans="1:10" x14ac:dyDescent="0.25">
      <c r="A28" s="1" t="s">
        <v>73</v>
      </c>
      <c r="F28" s="28"/>
    </row>
    <row r="29" spans="1:10" x14ac:dyDescent="0.25">
      <c r="B29" s="2" t="s">
        <v>74</v>
      </c>
      <c r="C29" s="21">
        <v>1312126</v>
      </c>
      <c r="D29" s="26">
        <v>2050197</v>
      </c>
      <c r="E29" s="26">
        <f>ROUND(2050197, -3)</f>
        <v>2050000</v>
      </c>
      <c r="F29" s="28">
        <f>ROUND(E29+CashFlow!F57+CashFlow!F61, -3)</f>
        <v>2050000</v>
      </c>
      <c r="G29" s="28">
        <f>ROUND(F29+CashFlow!G57+CashFlow!G61, -3)</f>
        <v>2050000</v>
      </c>
      <c r="H29" s="28">
        <f>ROUND(G29+CashFlow!H57+CashFlow!H61, -3)</f>
        <v>2050000</v>
      </c>
      <c r="I29" s="28">
        <f>ROUND(H29+CashFlow!I57+CashFlow!I61, -3)</f>
        <v>2050000</v>
      </c>
      <c r="J29" s="28">
        <f>ROUND(I29+CashFlow!J57+CashFlow!J61, -3)</f>
        <v>2050000</v>
      </c>
    </row>
    <row r="30" spans="1:10" x14ac:dyDescent="0.25">
      <c r="B30" s="2" t="s">
        <v>75</v>
      </c>
      <c r="C30" s="21">
        <v>36812540</v>
      </c>
      <c r="D30" s="26">
        <v>75377444</v>
      </c>
      <c r="E30" s="26">
        <f>ROUND(75377444, -3)</f>
        <v>75377000</v>
      </c>
      <c r="F30" s="28">
        <f>ROUND(E30, -3)</f>
        <v>75377000</v>
      </c>
      <c r="G30" s="28">
        <f t="shared" ref="G30:J30" si="13">ROUND(F30, -3)</f>
        <v>75377000</v>
      </c>
      <c r="H30" s="28">
        <f t="shared" si="13"/>
        <v>75377000</v>
      </c>
      <c r="I30" s="28">
        <f t="shared" si="13"/>
        <v>75377000</v>
      </c>
      <c r="J30" s="28">
        <f t="shared" si="13"/>
        <v>75377000</v>
      </c>
    </row>
    <row r="31" spans="1:10" x14ac:dyDescent="0.25">
      <c r="B31" s="2" t="s">
        <v>76</v>
      </c>
      <c r="C31" s="21">
        <v>-111316</v>
      </c>
      <c r="D31" s="26">
        <v>-72556</v>
      </c>
      <c r="E31" s="26">
        <f>ROUND(-94316, -3)</f>
        <v>-94000</v>
      </c>
      <c r="F31" s="28">
        <f>E31</f>
        <v>-94000</v>
      </c>
      <c r="G31" s="28">
        <f t="shared" ref="G31:J31" si="14">F31</f>
        <v>-94000</v>
      </c>
      <c r="H31" s="28">
        <f t="shared" si="14"/>
        <v>-94000</v>
      </c>
      <c r="I31" s="28">
        <f t="shared" si="14"/>
        <v>-94000</v>
      </c>
      <c r="J31" s="28">
        <f t="shared" si="14"/>
        <v>-94000</v>
      </c>
    </row>
    <row r="32" spans="1:10" x14ac:dyDescent="0.25">
      <c r="B32" s="2" t="s">
        <v>77</v>
      </c>
      <c r="C32" s="21">
        <v>60450685</v>
      </c>
      <c r="D32" s="26">
        <v>67903735</v>
      </c>
      <c r="E32" s="26">
        <f>ROUND(66377553, -3)</f>
        <v>66378000</v>
      </c>
      <c r="F32" s="28">
        <f ca="1">ROUND(E32+CashFlow!F6+CashFlow!F63+CashFlow!F65,-3)</f>
        <v>75401000</v>
      </c>
      <c r="G32" s="28">
        <f ca="1">F32+CashFlow!G6+CashFlow!G63+CashFlow!G65</f>
        <v>82340000</v>
      </c>
      <c r="H32" s="28">
        <f ca="1">G32+CashFlow!H6+CashFlow!H63+CashFlow!H65</f>
        <v>89113000</v>
      </c>
      <c r="I32" s="28">
        <f ca="1">H32+CashFlow!I6+CashFlow!I63+CashFlow!I65</f>
        <v>110531000</v>
      </c>
      <c r="J32" s="28">
        <f ca="1">I32+CashFlow!J6+CashFlow!J63+CashFlow!J65</f>
        <v>119979000</v>
      </c>
    </row>
    <row r="33" spans="1:10" s="1" customFormat="1" x14ac:dyDescent="0.25">
      <c r="A33" s="1" t="s">
        <v>78</v>
      </c>
      <c r="C33" s="27">
        <f>SUM(C29:C32)</f>
        <v>98464035</v>
      </c>
      <c r="D33" s="27">
        <f>SUM(D29:D32)</f>
        <v>145258820</v>
      </c>
      <c r="E33" s="27">
        <f>SUM(E29:E32)</f>
        <v>143711000</v>
      </c>
      <c r="F33" s="27">
        <f t="shared" ref="F33:J33" ca="1" si="15">SUM(F29:F32)</f>
        <v>152734000</v>
      </c>
      <c r="G33" s="27">
        <f t="shared" ca="1" si="15"/>
        <v>159673000</v>
      </c>
      <c r="H33" s="27">
        <f t="shared" ca="1" si="15"/>
        <v>166446000</v>
      </c>
      <c r="I33" s="27">
        <f t="shared" ca="1" si="15"/>
        <v>187864000</v>
      </c>
      <c r="J33" s="27">
        <f t="shared" ca="1" si="15"/>
        <v>197312000</v>
      </c>
    </row>
    <row r="34" spans="1:10" ht="15.75" thickBot="1" x14ac:dyDescent="0.3">
      <c r="B34" s="2" t="s">
        <v>79</v>
      </c>
      <c r="C34" s="21">
        <v>4080309</v>
      </c>
      <c r="D34" s="26">
        <v>5357888</v>
      </c>
      <c r="E34" s="26">
        <f>ROUND(7261317, -3)</f>
        <v>7261000</v>
      </c>
      <c r="F34" s="26">
        <f>E34</f>
        <v>7261000</v>
      </c>
      <c r="G34" s="28">
        <f>F34</f>
        <v>7261000</v>
      </c>
      <c r="H34" s="28">
        <f>G34</f>
        <v>7261000</v>
      </c>
      <c r="I34" s="28">
        <f>H34</f>
        <v>7261000</v>
      </c>
      <c r="J34" s="28">
        <f>I34</f>
        <v>7261000</v>
      </c>
    </row>
    <row r="35" spans="1:10" s="1" customFormat="1" ht="15.75" thickBot="1" x14ac:dyDescent="0.3">
      <c r="A35" s="1" t="s">
        <v>80</v>
      </c>
      <c r="C35" s="22">
        <f>SUM(C34,C33)</f>
        <v>102544344</v>
      </c>
      <c r="D35" s="22">
        <f>SUM(D34,D33)</f>
        <v>150616708</v>
      </c>
      <c r="E35" s="22">
        <f>SUM(E34,E33)</f>
        <v>150972000</v>
      </c>
      <c r="F35" s="22">
        <f t="shared" ref="F35:J35" ca="1" si="16">SUM(F34,F33)</f>
        <v>159995000</v>
      </c>
      <c r="G35" s="22">
        <f t="shared" ca="1" si="16"/>
        <v>166934000</v>
      </c>
      <c r="H35" s="22">
        <f t="shared" ca="1" si="16"/>
        <v>173707000</v>
      </c>
      <c r="I35" s="22">
        <f t="shared" ca="1" si="16"/>
        <v>195125000</v>
      </c>
      <c r="J35" s="22">
        <f t="shared" ca="1" si="16"/>
        <v>204573000</v>
      </c>
    </row>
    <row r="36" spans="1:10" x14ac:dyDescent="0.25">
      <c r="C36" s="21"/>
      <c r="D36" s="26"/>
      <c r="E36" s="26"/>
      <c r="F36" s="26"/>
    </row>
    <row r="37" spans="1:10" x14ac:dyDescent="0.25">
      <c r="A37" s="1" t="s">
        <v>81</v>
      </c>
      <c r="D37" s="28"/>
      <c r="E37" s="28"/>
      <c r="F37" s="28"/>
    </row>
    <row r="38" spans="1:10" x14ac:dyDescent="0.25">
      <c r="B38" s="2" t="s">
        <v>82</v>
      </c>
      <c r="C38" s="17">
        <v>50879043</v>
      </c>
      <c r="D38" s="29">
        <v>29376221</v>
      </c>
      <c r="E38" s="29">
        <f>ROUND(46231074, -3)</f>
        <v>46231000</v>
      </c>
      <c r="F38" s="29">
        <f ca="1">ROUND(E38+CashFlow!F58+CashFlow!F59-'Debt Schedule'!F13,-3)</f>
        <v>41608000</v>
      </c>
      <c r="G38" s="29">
        <f ca="1">ROUND(F38+CashFlow!G58+CashFlow!G59-'Debt Schedule'!G13,-3)</f>
        <v>36985000</v>
      </c>
      <c r="H38" s="29">
        <f ca="1">ROUND(G38+CashFlow!H58+CashFlow!H59-'Debt Schedule'!H13,-3)</f>
        <v>32362000</v>
      </c>
      <c r="I38" s="29">
        <f ca="1">ROUND(H38+CashFlow!I58+CashFlow!I59-'Debt Schedule'!I13,-3)</f>
        <v>27739000</v>
      </c>
      <c r="J38" s="29">
        <f ca="1">ROUND(I38+CashFlow!J58+CashFlow!J59-'Debt Schedule'!J13,-3)</f>
        <v>23116000</v>
      </c>
    </row>
    <row r="39" spans="1:10" x14ac:dyDescent="0.25">
      <c r="B39" s="2" t="s">
        <v>83</v>
      </c>
      <c r="C39" s="17">
        <v>3676418</v>
      </c>
      <c r="D39" s="29">
        <v>5193788</v>
      </c>
      <c r="E39" s="29">
        <f>ROUND(5848372, -3)</f>
        <v>5848000</v>
      </c>
      <c r="F39" s="29">
        <f>E39+CashFlow!F36</f>
        <v>5848000</v>
      </c>
      <c r="G39" s="29">
        <f>F39+CashFlow!G36</f>
        <v>5848000</v>
      </c>
      <c r="H39" s="29">
        <f>G39+CashFlow!H36</f>
        <v>5848000</v>
      </c>
      <c r="I39" s="29">
        <f>H39+CashFlow!I36</f>
        <v>5848000</v>
      </c>
      <c r="J39" s="29">
        <f>I39+CashFlow!J36</f>
        <v>5848000</v>
      </c>
    </row>
    <row r="40" spans="1:10" x14ac:dyDescent="0.25">
      <c r="B40" s="2" t="s">
        <v>84</v>
      </c>
      <c r="C40" s="17">
        <v>1568859</v>
      </c>
      <c r="D40" s="2">
        <v>1948287</v>
      </c>
      <c r="E40" s="29">
        <f>ROUND(2183131, -3)</f>
        <v>2183000</v>
      </c>
      <c r="F40" s="29">
        <f>E40+CashFlow!F22+CashFlow!F35</f>
        <v>2183000</v>
      </c>
      <c r="G40" s="29">
        <f>F40+CashFlow!G22+CashFlow!G35</f>
        <v>2183000</v>
      </c>
      <c r="H40" s="29">
        <f>G40+CashFlow!H22+CashFlow!H35</f>
        <v>2183000</v>
      </c>
      <c r="I40" s="29">
        <f>H40+CashFlow!I22+CashFlow!I35</f>
        <v>2183000</v>
      </c>
      <c r="J40" s="29">
        <f>I40+CashFlow!J22+CashFlow!J35</f>
        <v>2183000</v>
      </c>
    </row>
    <row r="41" spans="1:10" x14ac:dyDescent="0.25">
      <c r="B41" s="2" t="s">
        <v>85</v>
      </c>
      <c r="C41" s="17">
        <v>7819480</v>
      </c>
      <c r="D41" s="29">
        <v>12307605</v>
      </c>
      <c r="E41" s="29">
        <f>ROUND(10587507-3963819, -3)</f>
        <v>6624000</v>
      </c>
      <c r="F41" s="29">
        <f ca="1">IF(-'Tax Schedule'!F48&lt;0,0,-'Tax Schedule'!F48)</f>
        <v>6462000</v>
      </c>
      <c r="G41" s="29">
        <f ca="1">IF(-'Tax Schedule'!K48&lt;0,0,-'Tax Schedule'!K48)</f>
        <v>7358000</v>
      </c>
      <c r="H41" s="209">
        <f ca="1">IF(-'Tax Schedule'!P48&lt;0,0,-'Tax Schedule'!P48)</f>
        <v>7542000</v>
      </c>
      <c r="I41" s="207">
        <f ca="1">IF(-'Tax Schedule'!U48&lt;0,0,-'Tax Schedule'!U48)</f>
        <v>0</v>
      </c>
      <c r="J41" s="207">
        <f ca="1">IF(-'Tax Schedule'!Z48&lt;0,0,-'Tax Schedule'!Z48)</f>
        <v>0</v>
      </c>
    </row>
    <row r="42" spans="1:10" ht="15.75" thickBot="1" x14ac:dyDescent="0.3">
      <c r="B42" s="2" t="s">
        <v>86</v>
      </c>
      <c r="C42" s="17">
        <v>8618213</v>
      </c>
      <c r="D42" s="29">
        <v>9117232</v>
      </c>
      <c r="E42" s="29">
        <f>ROUND(16370523, -3)</f>
        <v>16371000</v>
      </c>
      <c r="F42" s="29">
        <f>E42+CashFlow!F30</f>
        <v>16371000</v>
      </c>
      <c r="G42" s="29">
        <f>F42+CashFlow!G30</f>
        <v>16371000</v>
      </c>
      <c r="H42" s="29">
        <f>G42+CashFlow!H30</f>
        <v>16371000</v>
      </c>
      <c r="I42" s="29">
        <f>H42+CashFlow!I30</f>
        <v>16371000</v>
      </c>
      <c r="J42" s="29">
        <f>I42+CashFlow!J30</f>
        <v>16371000</v>
      </c>
    </row>
    <row r="43" spans="1:10" s="1" customFormat="1" ht="15.75" thickBot="1" x14ac:dyDescent="0.3">
      <c r="A43" s="1" t="s">
        <v>87</v>
      </c>
      <c r="C43" s="22">
        <f>SUM(C38:C42)</f>
        <v>72562013</v>
      </c>
      <c r="D43" s="22">
        <f>SUM(D38:D42)</f>
        <v>57943133</v>
      </c>
      <c r="E43" s="22">
        <f>SUM(E38:E42)</f>
        <v>77257000</v>
      </c>
      <c r="F43" s="22">
        <f t="shared" ref="F43:J43" ca="1" si="17">SUM(F38:F42)</f>
        <v>72472000</v>
      </c>
      <c r="G43" s="22">
        <f t="shared" ca="1" si="17"/>
        <v>68745000</v>
      </c>
      <c r="H43" s="22">
        <f t="shared" ca="1" si="17"/>
        <v>64306000</v>
      </c>
      <c r="I43" s="22">
        <f t="shared" ca="1" si="17"/>
        <v>52141000</v>
      </c>
      <c r="J43" s="22">
        <f t="shared" ca="1" si="17"/>
        <v>47518000</v>
      </c>
    </row>
    <row r="44" spans="1:10" s="1" customFormat="1" x14ac:dyDescent="0.25">
      <c r="C44" s="30"/>
      <c r="D44" s="30"/>
      <c r="E44" s="30"/>
      <c r="G44" s="30"/>
    </row>
    <row r="45" spans="1:10" x14ac:dyDescent="0.25">
      <c r="B45" s="2" t="s">
        <v>88</v>
      </c>
      <c r="C45" s="17">
        <v>49023812</v>
      </c>
      <c r="D45" s="29">
        <v>19934045</v>
      </c>
      <c r="E45" s="29">
        <f>ROUND(9652138, -3)</f>
        <v>9652000</v>
      </c>
      <c r="F45" s="29"/>
      <c r="G45" s="29"/>
      <c r="H45" s="29"/>
      <c r="I45" s="29"/>
      <c r="J45" s="29"/>
    </row>
    <row r="46" spans="1:10" x14ac:dyDescent="0.25">
      <c r="B46" s="2" t="s">
        <v>98</v>
      </c>
      <c r="C46" s="17">
        <v>3492739</v>
      </c>
      <c r="D46" s="29">
        <v>0</v>
      </c>
      <c r="E46" s="29">
        <v>0</v>
      </c>
      <c r="F46" s="2">
        <v>0</v>
      </c>
      <c r="G46" s="29">
        <v>0</v>
      </c>
      <c r="H46" s="2">
        <v>0</v>
      </c>
      <c r="I46" s="2">
        <v>0</v>
      </c>
      <c r="J46" s="2">
        <v>0</v>
      </c>
    </row>
    <row r="47" spans="1:10" x14ac:dyDescent="0.25">
      <c r="B47" s="2" t="s">
        <v>89</v>
      </c>
      <c r="C47" s="17">
        <v>94567170</v>
      </c>
      <c r="D47" s="29">
        <v>56993533</v>
      </c>
      <c r="E47" s="29">
        <f>ROUND(79040345, -3)</f>
        <v>79040000</v>
      </c>
      <c r="F47" s="29">
        <f>E47+CashFlow!F29</f>
        <v>71785000</v>
      </c>
      <c r="G47" s="29">
        <f>F47+CashFlow!G29</f>
        <v>72021000</v>
      </c>
      <c r="H47" s="29">
        <f>G47+CashFlow!H29</f>
        <v>72258000</v>
      </c>
      <c r="I47" s="29">
        <f>H47+CashFlow!I29</f>
        <v>72496000</v>
      </c>
      <c r="J47" s="29">
        <f>I47+CashFlow!J29</f>
        <v>72735000</v>
      </c>
    </row>
    <row r="48" spans="1:10" x14ac:dyDescent="0.25">
      <c r="B48" s="2" t="s">
        <v>82</v>
      </c>
      <c r="C48" s="17">
        <v>141702267</v>
      </c>
      <c r="D48" s="29">
        <v>103922863</v>
      </c>
      <c r="E48" s="29">
        <f>ROUND(71053087, -3)</f>
        <v>71053000</v>
      </c>
      <c r="F48" s="29">
        <f ca="1">ROUND(E48+CashFlow!F60+'Debt Schedule'!F13,-3)</f>
        <v>56411000</v>
      </c>
      <c r="G48" s="29">
        <f ca="1">ROUND(F48+CashFlow!G60+'Debt Schedule'!G13,-3)</f>
        <v>48886000</v>
      </c>
      <c r="H48" s="29">
        <f ca="1">ROUND(G48+CashFlow!H60+'Debt Schedule'!H13,-3)</f>
        <v>40358000</v>
      </c>
      <c r="I48" s="29">
        <f ca="1">ROUND(H48+CashFlow!I60+'Debt Schedule'!I13,-3)</f>
        <v>30662000</v>
      </c>
      <c r="J48" s="29">
        <f ca="1">ROUND(I48+CashFlow!J60+'Debt Schedule'!J13,-3)</f>
        <v>19608000</v>
      </c>
    </row>
    <row r="49" spans="1:10" x14ac:dyDescent="0.25">
      <c r="B49" s="2" t="s">
        <v>90</v>
      </c>
      <c r="C49" s="17">
        <v>2136490</v>
      </c>
      <c r="D49" s="29">
        <v>3151317</v>
      </c>
      <c r="E49" s="29">
        <f>ROUND(4104046, -3)</f>
        <v>4104000</v>
      </c>
      <c r="F49" s="29">
        <f ca="1">'Tax Schedule'!F70</f>
        <v>5171000</v>
      </c>
      <c r="G49" s="29">
        <f ca="1">'Tax Schedule'!K70</f>
        <v>5486000</v>
      </c>
      <c r="H49" s="209">
        <f ca="1">'Tax Schedule'!P70</f>
        <v>5455000</v>
      </c>
      <c r="I49" s="207">
        <f ca="1">'Tax Schedule'!U70</f>
        <v>5328000</v>
      </c>
      <c r="J49" s="207">
        <f ca="1">'Tax Schedule'!Z70</f>
        <v>5098000</v>
      </c>
    </row>
    <row r="50" spans="1:10" x14ac:dyDescent="0.25">
      <c r="B50" s="2" t="s">
        <v>91</v>
      </c>
      <c r="C50" s="17">
        <v>2089158</v>
      </c>
      <c r="D50" s="29">
        <v>2578896</v>
      </c>
      <c r="E50" s="29">
        <f>ROUND(2818229, -3)</f>
        <v>2818000</v>
      </c>
      <c r="F50" s="29">
        <f>E50</f>
        <v>2818000</v>
      </c>
      <c r="G50" s="29">
        <f t="shared" ref="G50:J52" si="18">F50</f>
        <v>2818000</v>
      </c>
      <c r="H50" s="29">
        <f t="shared" si="18"/>
        <v>2818000</v>
      </c>
      <c r="I50" s="29">
        <f t="shared" si="18"/>
        <v>2818000</v>
      </c>
      <c r="J50" s="29">
        <f t="shared" si="18"/>
        <v>2818000</v>
      </c>
    </row>
    <row r="51" spans="1:10" x14ac:dyDescent="0.25">
      <c r="B51" s="2" t="s">
        <v>92</v>
      </c>
      <c r="C51" s="17">
        <v>2032098</v>
      </c>
      <c r="D51" s="29">
        <v>2005814</v>
      </c>
      <c r="E51" s="29">
        <f>ROUND(2566783, -3)</f>
        <v>2567000</v>
      </c>
      <c r="F51" s="29">
        <f>E51</f>
        <v>2567000</v>
      </c>
      <c r="G51" s="29">
        <f t="shared" si="18"/>
        <v>2567000</v>
      </c>
      <c r="H51" s="29">
        <f t="shared" si="18"/>
        <v>2567000</v>
      </c>
      <c r="I51" s="29">
        <f t="shared" si="18"/>
        <v>2567000</v>
      </c>
      <c r="J51" s="29">
        <f t="shared" si="18"/>
        <v>2567000</v>
      </c>
    </row>
    <row r="52" spans="1:10" ht="15.75" thickBot="1" x14ac:dyDescent="0.3">
      <c r="B52" s="2" t="s">
        <v>93</v>
      </c>
      <c r="C52" s="17">
        <v>12453166</v>
      </c>
      <c r="D52" s="29">
        <v>11201608</v>
      </c>
      <c r="E52" s="29">
        <f>ROUND(15395174, -3)</f>
        <v>15395000</v>
      </c>
      <c r="F52" s="29">
        <f>E52</f>
        <v>15395000</v>
      </c>
      <c r="G52" s="29">
        <f t="shared" si="18"/>
        <v>15395000</v>
      </c>
      <c r="H52" s="29">
        <f t="shared" si="18"/>
        <v>15395000</v>
      </c>
      <c r="I52" s="29">
        <f t="shared" si="18"/>
        <v>15395000</v>
      </c>
      <c r="J52" s="29">
        <f t="shared" si="18"/>
        <v>15395000</v>
      </c>
    </row>
    <row r="53" spans="1:10" s="1" customFormat="1" ht="15.75" thickBot="1" x14ac:dyDescent="0.3">
      <c r="A53" s="1" t="s">
        <v>94</v>
      </c>
      <c r="C53" s="22">
        <f>SUM(C52,C51,C50,C49,C48,C47,C46,C45)</f>
        <v>307496900</v>
      </c>
      <c r="D53" s="22">
        <f>SUM(D52,D51,D50,D49,D48,D47,D46,D45)</f>
        <v>199788076</v>
      </c>
      <c r="E53" s="22">
        <f>SUM(E52,E51,E50,E49,E48,E47,E46,E45)</f>
        <v>184629000</v>
      </c>
      <c r="F53" s="22">
        <f t="shared" ref="F53:J53" ca="1" si="19">SUM(F52,F51,F50,F49,F48,F47,F46,F45)</f>
        <v>154147000</v>
      </c>
      <c r="G53" s="22">
        <f t="shared" ca="1" si="19"/>
        <v>147173000</v>
      </c>
      <c r="H53" s="22">
        <f t="shared" ca="1" si="19"/>
        <v>138851000</v>
      </c>
      <c r="I53" s="22">
        <f t="shared" ca="1" si="19"/>
        <v>129266000</v>
      </c>
      <c r="J53" s="22">
        <f t="shared" ca="1" si="19"/>
        <v>118221000</v>
      </c>
    </row>
    <row r="54" spans="1:10" s="1" customFormat="1" ht="15.75" thickBot="1" x14ac:dyDescent="0.3">
      <c r="C54" s="30"/>
      <c r="D54" s="30"/>
      <c r="E54" s="30"/>
      <c r="G54" s="30"/>
    </row>
    <row r="55" spans="1:10" s="1" customFormat="1" ht="15.75" thickBot="1" x14ac:dyDescent="0.3">
      <c r="A55" s="1" t="s">
        <v>95</v>
      </c>
      <c r="C55" s="22">
        <f>SUM(C53,C43)</f>
        <v>380058913</v>
      </c>
      <c r="D55" s="22">
        <f>SUM(D53,D43)</f>
        <v>257731209</v>
      </c>
      <c r="E55" s="22">
        <f>SUM(E53,E43)</f>
        <v>261886000</v>
      </c>
      <c r="F55" s="22">
        <f t="shared" ref="F55:J55" ca="1" si="20">SUM(F53,F43)</f>
        <v>226619000</v>
      </c>
      <c r="G55" s="22">
        <f t="shared" ca="1" si="20"/>
        <v>215918000</v>
      </c>
      <c r="H55" s="22">
        <f t="shared" ca="1" si="20"/>
        <v>203157000</v>
      </c>
      <c r="I55" s="22">
        <f t="shared" ca="1" si="20"/>
        <v>181407000</v>
      </c>
      <c r="J55" s="22">
        <f t="shared" ca="1" si="20"/>
        <v>165739000</v>
      </c>
    </row>
    <row r="56" spans="1:10" s="1" customFormat="1" ht="15.75" thickBot="1" x14ac:dyDescent="0.3">
      <c r="C56" s="30"/>
      <c r="D56" s="30"/>
      <c r="E56" s="30"/>
      <c r="G56" s="30"/>
    </row>
    <row r="57" spans="1:10" s="1" customFormat="1" ht="15.75" thickBot="1" x14ac:dyDescent="0.3">
      <c r="A57" s="1" t="s">
        <v>96</v>
      </c>
      <c r="C57" s="31">
        <f>SUM(C55,C35)</f>
        <v>482603257</v>
      </c>
      <c r="D57" s="31">
        <f>SUM(D55,D35)</f>
        <v>408347917</v>
      </c>
      <c r="E57" s="31">
        <f>SUM(E55,E35)</f>
        <v>412858000</v>
      </c>
      <c r="F57" s="31">
        <f t="shared" ref="F57:J57" ca="1" si="21">SUM(F55,F35)</f>
        <v>386614000</v>
      </c>
      <c r="G57" s="31">
        <f t="shared" ca="1" si="21"/>
        <v>382852000</v>
      </c>
      <c r="H57" s="31">
        <f t="shared" ca="1" si="21"/>
        <v>376864000</v>
      </c>
      <c r="I57" s="31">
        <f t="shared" ca="1" si="21"/>
        <v>376532000</v>
      </c>
      <c r="J57" s="31">
        <f t="shared" ca="1" si="21"/>
        <v>370312000</v>
      </c>
    </row>
    <row r="58" spans="1:10" ht="15.75" thickTop="1" x14ac:dyDescent="0.25">
      <c r="B58" s="61" t="s">
        <v>97</v>
      </c>
      <c r="C58" s="64">
        <f>C57-C26</f>
        <v>0</v>
      </c>
      <c r="D58" s="64">
        <f>D57-D26</f>
        <v>0</v>
      </c>
      <c r="E58" s="64">
        <f>E57-E26</f>
        <v>0</v>
      </c>
      <c r="F58" s="64">
        <f t="shared" ref="F58:J58" ca="1" si="22">F57-F26</f>
        <v>0</v>
      </c>
      <c r="G58" s="64">
        <f t="shared" ca="1" si="22"/>
        <v>0</v>
      </c>
      <c r="H58" s="64">
        <f t="shared" ca="1" si="22"/>
        <v>0</v>
      </c>
      <c r="I58" s="64">
        <f t="shared" ca="1" si="22"/>
        <v>0</v>
      </c>
      <c r="J58" s="64">
        <f t="shared" ca="1" si="22"/>
        <v>0</v>
      </c>
    </row>
    <row r="59" spans="1:10" x14ac:dyDescent="0.25">
      <c r="G59" s="109"/>
      <c r="H59" s="109"/>
      <c r="I59" s="109"/>
      <c r="J59" s="109"/>
    </row>
    <row r="61" spans="1:10" x14ac:dyDescent="0.25">
      <c r="H61" s="109"/>
      <c r="I61" s="109"/>
      <c r="J61" s="109"/>
    </row>
    <row r="63" spans="1:10" x14ac:dyDescent="0.25">
      <c r="F63" s="29"/>
      <c r="G63" s="29"/>
      <c r="H63" s="29"/>
      <c r="I63" s="29"/>
      <c r="J63" s="29"/>
    </row>
  </sheetData>
  <mergeCells count="2">
    <mergeCell ref="C3:E3"/>
    <mergeCell ref="F3:J3"/>
  </mergeCells>
  <pageMargins left="0.25" right="0.25" top="0.34" bottom="0.17" header="0.4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70"/>
  <sheetViews>
    <sheetView workbookViewId="0">
      <pane xSplit="2" ySplit="4" topLeftCell="D49" activePane="bottomRight" state="frozen"/>
      <selection pane="topRight" activeCell="C1" sqref="C1"/>
      <selection pane="bottomLeft" activeCell="A5" sqref="A5"/>
      <selection pane="bottomRight" activeCell="D61" sqref="D61"/>
    </sheetView>
  </sheetViews>
  <sheetFormatPr defaultRowHeight="15" x14ac:dyDescent="0.25"/>
  <cols>
    <col min="1" max="1" width="3.140625" style="2" customWidth="1"/>
    <col min="2" max="2" width="32.42578125" style="2" customWidth="1"/>
    <col min="3" max="3" width="15.7109375" style="184" customWidth="1"/>
    <col min="4" max="4" width="13.140625" style="2" bestFit="1" customWidth="1"/>
    <col min="5" max="5" width="13.85546875" style="184" bestFit="1" customWidth="1"/>
    <col min="6" max="6" width="15.85546875" style="2" bestFit="1" customWidth="1"/>
    <col min="7" max="7" width="3.5703125" style="2" customWidth="1"/>
    <col min="8" max="11" width="15.7109375" style="184" customWidth="1"/>
    <col min="12" max="12" width="4.5703125" style="184" customWidth="1"/>
    <col min="13" max="16" width="15.7109375" style="184" customWidth="1"/>
    <col min="17" max="17" width="4" style="184" customWidth="1"/>
    <col min="18" max="21" width="15.7109375" style="184" customWidth="1"/>
    <col min="22" max="22" width="5.85546875" style="184" customWidth="1"/>
    <col min="23" max="23" width="20.28515625" style="184" customWidth="1"/>
    <col min="24" max="24" width="15" style="2" customWidth="1"/>
    <col min="25" max="25" width="14.140625" style="2" customWidth="1"/>
    <col min="26" max="26" width="15.5703125" style="2" customWidth="1"/>
    <col min="27" max="16384" width="9.140625" style="2"/>
  </cols>
  <sheetData>
    <row r="3" spans="1:26" x14ac:dyDescent="0.25">
      <c r="C3" s="219" t="s">
        <v>174</v>
      </c>
      <c r="D3" s="220"/>
      <c r="E3" s="220"/>
      <c r="F3" s="221"/>
      <c r="H3" s="219" t="s">
        <v>175</v>
      </c>
      <c r="I3" s="220"/>
      <c r="J3" s="220"/>
      <c r="K3" s="221"/>
      <c r="L3" s="204"/>
      <c r="M3" s="219" t="s">
        <v>176</v>
      </c>
      <c r="N3" s="220"/>
      <c r="O3" s="220"/>
      <c r="P3" s="221"/>
      <c r="Q3" s="204"/>
      <c r="R3" s="219" t="s">
        <v>177</v>
      </c>
      <c r="S3" s="220"/>
      <c r="T3" s="220"/>
      <c r="U3" s="221"/>
      <c r="V3" s="204"/>
      <c r="W3" s="219" t="s">
        <v>178</v>
      </c>
      <c r="X3" s="220"/>
      <c r="Y3" s="220"/>
      <c r="Z3" s="221"/>
    </row>
    <row r="4" spans="1:26" ht="30" x14ac:dyDescent="0.25">
      <c r="C4" s="188" t="s">
        <v>296</v>
      </c>
      <c r="D4" s="189" t="s">
        <v>297</v>
      </c>
      <c r="E4" s="190" t="s">
        <v>299</v>
      </c>
      <c r="F4" s="191" t="s">
        <v>300</v>
      </c>
      <c r="H4" s="188" t="s">
        <v>296</v>
      </c>
      <c r="I4" s="189" t="s">
        <v>297</v>
      </c>
      <c r="J4" s="190" t="s">
        <v>299</v>
      </c>
      <c r="K4" s="191" t="s">
        <v>300</v>
      </c>
      <c r="L4" s="187"/>
      <c r="M4" s="188" t="s">
        <v>296</v>
      </c>
      <c r="N4" s="189" t="s">
        <v>297</v>
      </c>
      <c r="O4" s="190" t="s">
        <v>299</v>
      </c>
      <c r="P4" s="191" t="s">
        <v>300</v>
      </c>
      <c r="Q4" s="187"/>
      <c r="R4" s="188" t="s">
        <v>296</v>
      </c>
      <c r="S4" s="189" t="s">
        <v>297</v>
      </c>
      <c r="T4" s="190" t="s">
        <v>299</v>
      </c>
      <c r="U4" s="191" t="s">
        <v>300</v>
      </c>
      <c r="V4" s="187"/>
      <c r="W4" s="188" t="s">
        <v>296</v>
      </c>
      <c r="X4" s="189" t="s">
        <v>297</v>
      </c>
      <c r="Y4" s="190" t="s">
        <v>299</v>
      </c>
      <c r="Z4" s="191" t="s">
        <v>300</v>
      </c>
    </row>
    <row r="5" spans="1:26" x14ac:dyDescent="0.25">
      <c r="A5" s="1" t="s">
        <v>55</v>
      </c>
      <c r="C5" s="192"/>
      <c r="D5" s="200"/>
      <c r="E5" s="193"/>
      <c r="F5" s="201"/>
      <c r="H5" s="192"/>
      <c r="I5" s="193"/>
      <c r="J5" s="193"/>
      <c r="K5" s="194"/>
      <c r="M5" s="192"/>
      <c r="N5" s="193"/>
      <c r="O5" s="193"/>
      <c r="P5" s="194"/>
      <c r="R5" s="192"/>
      <c r="S5" s="193"/>
      <c r="T5" s="193"/>
      <c r="U5" s="194"/>
      <c r="W5" s="192"/>
      <c r="X5" s="200"/>
      <c r="Y5" s="200"/>
      <c r="Z5" s="201"/>
    </row>
    <row r="6" spans="1:26" x14ac:dyDescent="0.25">
      <c r="B6" s="2" t="s">
        <v>56</v>
      </c>
      <c r="C6" s="192">
        <f>'Balance Sheet'!F6</f>
        <v>219393000</v>
      </c>
      <c r="D6" s="202">
        <f>'Depreciation Schedule'!F55</f>
        <v>169755711.33333334</v>
      </c>
      <c r="E6" s="193">
        <f t="shared" ref="E6:E40" si="0">D6-C6</f>
        <v>-49637288.666666657</v>
      </c>
      <c r="F6" s="208">
        <f>E6*F57</f>
        <v>-14891186.599999996</v>
      </c>
      <c r="H6" s="192">
        <f>'Balance Sheet'!G6</f>
        <v>215109000</v>
      </c>
      <c r="I6" s="193">
        <f>'Depreciation Schedule'!G55</f>
        <v>166179711.33333334</v>
      </c>
      <c r="J6" s="193">
        <f>I6-H6</f>
        <v>-48929288.666666657</v>
      </c>
      <c r="K6" s="208">
        <f>J6*$K$57</f>
        <v>-14678786.599999996</v>
      </c>
      <c r="M6" s="192">
        <f>'Balance Sheet'!H6</f>
        <v>208606000</v>
      </c>
      <c r="N6" s="193">
        <f>'Depreciation Schedule'!H55</f>
        <v>159065336.33333334</v>
      </c>
      <c r="O6" s="193">
        <f>N6-M6</f>
        <v>-49540663.666666657</v>
      </c>
      <c r="P6" s="194">
        <f>O6*$P$57</f>
        <v>-14862199.099999996</v>
      </c>
      <c r="R6" s="192">
        <f>'Balance Sheet'!I6</f>
        <v>200316000</v>
      </c>
      <c r="S6" s="193">
        <f>'Depreciation Schedule'!I55</f>
        <v>200719401</v>
      </c>
      <c r="T6" s="193">
        <f>S6-R6</f>
        <v>403401</v>
      </c>
      <c r="U6" s="194">
        <f>T6*$U$57</f>
        <v>121020.29999999999</v>
      </c>
      <c r="W6" s="192">
        <f>'Balance Sheet'!J6</f>
        <v>189792000</v>
      </c>
      <c r="X6" s="193">
        <f>'Depreciation Schedule'!J55</f>
        <v>193031878</v>
      </c>
      <c r="Y6" s="193">
        <f>X6-W6</f>
        <v>3239878</v>
      </c>
      <c r="Z6" s="194">
        <f>Y6*$Z$57</f>
        <v>971963.39999999991</v>
      </c>
    </row>
    <row r="7" spans="1:26" x14ac:dyDescent="0.25">
      <c r="B7" s="2" t="s">
        <v>57</v>
      </c>
      <c r="C7" s="192">
        <f>'Balance Sheet'!F7</f>
        <v>1738000</v>
      </c>
      <c r="D7" s="202">
        <f t="shared" ref="D7:D25" si="1">C7</f>
        <v>1738000</v>
      </c>
      <c r="E7" s="193">
        <f t="shared" si="0"/>
        <v>0</v>
      </c>
      <c r="F7" s="194">
        <f t="shared" ref="F7:F41" si="2">E7*0.3</f>
        <v>0</v>
      </c>
      <c r="H7" s="192">
        <f>'Balance Sheet'!G7</f>
        <v>1738000</v>
      </c>
      <c r="I7" s="193">
        <f t="shared" ref="I7:I25" si="3">H7</f>
        <v>1738000</v>
      </c>
      <c r="J7" s="193">
        <f t="shared" ref="J7:J40" si="4">I7-H7</f>
        <v>0</v>
      </c>
      <c r="K7" s="194">
        <f t="shared" ref="K7:K40" si="5">J7*0.3</f>
        <v>0</v>
      </c>
      <c r="M7" s="192">
        <f>'Balance Sheet'!H7</f>
        <v>1738000</v>
      </c>
      <c r="N7" s="193">
        <f>M7</f>
        <v>1738000</v>
      </c>
      <c r="O7" s="193">
        <f t="shared" ref="O7:O40" si="6">N7-M7</f>
        <v>0</v>
      </c>
      <c r="P7" s="194">
        <f t="shared" ref="P7:P40" si="7">O7*$P$57</f>
        <v>0</v>
      </c>
      <c r="R7" s="192">
        <f>'Balance Sheet'!I7</f>
        <v>1738000</v>
      </c>
      <c r="S7" s="193">
        <f>R7</f>
        <v>1738000</v>
      </c>
      <c r="T7" s="193">
        <f t="shared" ref="T7:T40" si="8">S7-R7</f>
        <v>0</v>
      </c>
      <c r="U7" s="194">
        <f t="shared" ref="U7:U40" si="9">T7*$U$57</f>
        <v>0</v>
      </c>
      <c r="W7" s="192">
        <f>'Balance Sheet'!J7</f>
        <v>1738000</v>
      </c>
      <c r="X7" s="193">
        <f>W7</f>
        <v>1738000</v>
      </c>
      <c r="Y7" s="193">
        <f t="shared" ref="Y7:Y40" si="10">X7-W7</f>
        <v>0</v>
      </c>
      <c r="Z7" s="194">
        <f t="shared" ref="Z7:Z40" si="11">Y7*$Z$57</f>
        <v>0</v>
      </c>
    </row>
    <row r="8" spans="1:26" x14ac:dyDescent="0.25">
      <c r="B8" s="2" t="s">
        <v>58</v>
      </c>
      <c r="C8" s="192">
        <f>'Balance Sheet'!F8</f>
        <v>4148000</v>
      </c>
      <c r="D8" s="202">
        <f t="shared" si="1"/>
        <v>4148000</v>
      </c>
      <c r="E8" s="193">
        <f t="shared" si="0"/>
        <v>0</v>
      </c>
      <c r="F8" s="194">
        <f t="shared" si="2"/>
        <v>0</v>
      </c>
      <c r="H8" s="192">
        <f>'Balance Sheet'!G8</f>
        <v>4148000</v>
      </c>
      <c r="I8" s="193">
        <f t="shared" si="3"/>
        <v>4148000</v>
      </c>
      <c r="J8" s="193">
        <f t="shared" si="4"/>
        <v>0</v>
      </c>
      <c r="K8" s="194">
        <f t="shared" si="5"/>
        <v>0</v>
      </c>
      <c r="M8" s="192">
        <f>'Balance Sheet'!H8</f>
        <v>4148000</v>
      </c>
      <c r="N8" s="193">
        <f>M8</f>
        <v>4148000</v>
      </c>
      <c r="O8" s="193">
        <f t="shared" si="6"/>
        <v>0</v>
      </c>
      <c r="P8" s="194">
        <f t="shared" si="7"/>
        <v>0</v>
      </c>
      <c r="R8" s="192">
        <f>'Balance Sheet'!I8</f>
        <v>4148000</v>
      </c>
      <c r="S8" s="193">
        <f t="shared" ref="S8:S40" si="12">R8</f>
        <v>4148000</v>
      </c>
      <c r="T8" s="193">
        <f t="shared" si="8"/>
        <v>0</v>
      </c>
      <c r="U8" s="194">
        <f t="shared" si="9"/>
        <v>0</v>
      </c>
      <c r="W8" s="192">
        <f>'Balance Sheet'!J8</f>
        <v>4148000</v>
      </c>
      <c r="X8" s="193">
        <f t="shared" ref="X8:X25" si="13">W8</f>
        <v>4148000</v>
      </c>
      <c r="Y8" s="193">
        <f t="shared" si="10"/>
        <v>0</v>
      </c>
      <c r="Z8" s="194">
        <f t="shared" si="11"/>
        <v>0</v>
      </c>
    </row>
    <row r="9" spans="1:26" x14ac:dyDescent="0.25">
      <c r="B9" s="2" t="s">
        <v>59</v>
      </c>
      <c r="C9" s="192">
        <f>'Balance Sheet'!F9</f>
        <v>1317000</v>
      </c>
      <c r="D9" s="202">
        <f t="shared" si="1"/>
        <v>1317000</v>
      </c>
      <c r="E9" s="193">
        <f t="shared" si="0"/>
        <v>0</v>
      </c>
      <c r="F9" s="194">
        <f t="shared" si="2"/>
        <v>0</v>
      </c>
      <c r="H9" s="192">
        <f>'Balance Sheet'!G9</f>
        <v>1317000</v>
      </c>
      <c r="I9" s="193">
        <f t="shared" si="3"/>
        <v>1317000</v>
      </c>
      <c r="J9" s="193">
        <f t="shared" si="4"/>
        <v>0</v>
      </c>
      <c r="K9" s="194">
        <f t="shared" si="5"/>
        <v>0</v>
      </c>
      <c r="M9" s="192">
        <f>'Balance Sheet'!H9</f>
        <v>1317000</v>
      </c>
      <c r="N9" s="193">
        <f t="shared" ref="N9:N40" si="14">M9</f>
        <v>1317000</v>
      </c>
      <c r="O9" s="193">
        <f t="shared" si="6"/>
        <v>0</v>
      </c>
      <c r="P9" s="194">
        <f t="shared" si="7"/>
        <v>0</v>
      </c>
      <c r="R9" s="192">
        <f>'Balance Sheet'!I9</f>
        <v>1317000</v>
      </c>
      <c r="S9" s="193">
        <f t="shared" si="12"/>
        <v>1317000</v>
      </c>
      <c r="T9" s="193">
        <f t="shared" si="8"/>
        <v>0</v>
      </c>
      <c r="U9" s="194">
        <f t="shared" si="9"/>
        <v>0</v>
      </c>
      <c r="W9" s="192">
        <f>'Balance Sheet'!J9</f>
        <v>1317000</v>
      </c>
      <c r="X9" s="193">
        <f t="shared" si="13"/>
        <v>1317000</v>
      </c>
      <c r="Y9" s="193">
        <f t="shared" si="10"/>
        <v>0</v>
      </c>
      <c r="Z9" s="194">
        <f t="shared" si="11"/>
        <v>0</v>
      </c>
    </row>
    <row r="10" spans="1:26" x14ac:dyDescent="0.25">
      <c r="B10" s="2" t="s">
        <v>60</v>
      </c>
      <c r="C10" s="192">
        <f>'Balance Sheet'!F10</f>
        <v>0</v>
      </c>
      <c r="D10" s="202">
        <f t="shared" si="1"/>
        <v>0</v>
      </c>
      <c r="E10" s="193">
        <f t="shared" si="0"/>
        <v>0</v>
      </c>
      <c r="F10" s="194">
        <f t="shared" si="2"/>
        <v>0</v>
      </c>
      <c r="H10" s="192">
        <f>'Balance Sheet'!G10</f>
        <v>0</v>
      </c>
      <c r="I10" s="193">
        <f t="shared" si="3"/>
        <v>0</v>
      </c>
      <c r="J10" s="193">
        <f t="shared" si="4"/>
        <v>0</v>
      </c>
      <c r="K10" s="194">
        <f t="shared" si="5"/>
        <v>0</v>
      </c>
      <c r="M10" s="192">
        <f>'Balance Sheet'!H10</f>
        <v>0</v>
      </c>
      <c r="N10" s="193">
        <f t="shared" si="14"/>
        <v>0</v>
      </c>
      <c r="O10" s="193">
        <f t="shared" si="6"/>
        <v>0</v>
      </c>
      <c r="P10" s="194">
        <f t="shared" si="7"/>
        <v>0</v>
      </c>
      <c r="R10" s="192">
        <f>'Balance Sheet'!I10</f>
        <v>0</v>
      </c>
      <c r="S10" s="193">
        <f t="shared" si="12"/>
        <v>0</v>
      </c>
      <c r="T10" s="193">
        <f t="shared" si="8"/>
        <v>0</v>
      </c>
      <c r="U10" s="194">
        <f t="shared" si="9"/>
        <v>0</v>
      </c>
      <c r="W10" s="192">
        <f>'Balance Sheet'!J10</f>
        <v>0</v>
      </c>
      <c r="X10" s="193">
        <f t="shared" si="13"/>
        <v>0</v>
      </c>
      <c r="Y10" s="193">
        <f t="shared" si="10"/>
        <v>0</v>
      </c>
      <c r="Z10" s="194">
        <f t="shared" si="11"/>
        <v>0</v>
      </c>
    </row>
    <row r="11" spans="1:26" x14ac:dyDescent="0.25">
      <c r="B11" s="2" t="s">
        <v>61</v>
      </c>
      <c r="C11" s="192">
        <f>'Balance Sheet'!F11</f>
        <v>142000</v>
      </c>
      <c r="D11" s="202">
        <f t="shared" si="1"/>
        <v>142000</v>
      </c>
      <c r="E11" s="193">
        <f t="shared" si="0"/>
        <v>0</v>
      </c>
      <c r="F11" s="194">
        <f t="shared" si="2"/>
        <v>0</v>
      </c>
      <c r="H11" s="192">
        <f>'Balance Sheet'!G11</f>
        <v>150000</v>
      </c>
      <c r="I11" s="193">
        <f t="shared" si="3"/>
        <v>150000</v>
      </c>
      <c r="J11" s="193">
        <f t="shared" si="4"/>
        <v>0</v>
      </c>
      <c r="K11" s="194">
        <f t="shared" si="5"/>
        <v>0</v>
      </c>
      <c r="M11" s="192">
        <f>'Balance Sheet'!H11</f>
        <v>152000</v>
      </c>
      <c r="N11" s="193">
        <f t="shared" si="14"/>
        <v>152000</v>
      </c>
      <c r="O11" s="193">
        <f t="shared" si="6"/>
        <v>0</v>
      </c>
      <c r="P11" s="194">
        <f t="shared" si="7"/>
        <v>0</v>
      </c>
      <c r="R11" s="192">
        <f>'Balance Sheet'!I11</f>
        <v>153000</v>
      </c>
      <c r="S11" s="193">
        <f t="shared" si="12"/>
        <v>153000</v>
      </c>
      <c r="T11" s="193">
        <f t="shared" si="8"/>
        <v>0</v>
      </c>
      <c r="U11" s="194">
        <f t="shared" si="9"/>
        <v>0</v>
      </c>
      <c r="W11" s="192">
        <f>'Balance Sheet'!J11</f>
        <v>153000</v>
      </c>
      <c r="X11" s="193">
        <f t="shared" si="13"/>
        <v>153000</v>
      </c>
      <c r="Y11" s="193">
        <f t="shared" si="10"/>
        <v>0</v>
      </c>
      <c r="Z11" s="194">
        <f t="shared" si="11"/>
        <v>0</v>
      </c>
    </row>
    <row r="12" spans="1:26" x14ac:dyDescent="0.25">
      <c r="B12" s="2" t="s">
        <v>62</v>
      </c>
      <c r="C12" s="192">
        <f ca="1">'Balance Sheet'!F12</f>
        <v>0</v>
      </c>
      <c r="D12" s="202">
        <f t="shared" ca="1" si="1"/>
        <v>0</v>
      </c>
      <c r="E12" s="193">
        <f t="shared" ca="1" si="0"/>
        <v>0</v>
      </c>
      <c r="F12" s="194">
        <f t="shared" ca="1" si="2"/>
        <v>0</v>
      </c>
      <c r="H12" s="192">
        <f ca="1">'Balance Sheet'!G12</f>
        <v>0</v>
      </c>
      <c r="I12" s="193">
        <f t="shared" ca="1" si="3"/>
        <v>0</v>
      </c>
      <c r="J12" s="193">
        <f t="shared" ca="1" si="4"/>
        <v>0</v>
      </c>
      <c r="K12" s="194">
        <f t="shared" ca="1" si="5"/>
        <v>0</v>
      </c>
      <c r="M12" s="192">
        <f ca="1">'Balance Sheet'!H12</f>
        <v>0</v>
      </c>
      <c r="N12" s="193">
        <f t="shared" ca="1" si="14"/>
        <v>0</v>
      </c>
      <c r="O12" s="193">
        <f t="shared" ca="1" si="6"/>
        <v>0</v>
      </c>
      <c r="P12" s="194">
        <f t="shared" ca="1" si="7"/>
        <v>0</v>
      </c>
      <c r="R12" s="192">
        <f ca="1">'Balance Sheet'!I12</f>
        <v>7442000</v>
      </c>
      <c r="S12" s="193">
        <f t="shared" ca="1" si="12"/>
        <v>7442000</v>
      </c>
      <c r="T12" s="193">
        <f t="shared" ca="1" si="8"/>
        <v>0</v>
      </c>
      <c r="U12" s="194">
        <f t="shared" ca="1" si="9"/>
        <v>0</v>
      </c>
      <c r="W12" s="192">
        <f ca="1">'Balance Sheet'!J12</f>
        <v>11228000</v>
      </c>
      <c r="X12" s="193">
        <f t="shared" ca="1" si="13"/>
        <v>11228000</v>
      </c>
      <c r="Y12" s="193">
        <f t="shared" ca="1" si="10"/>
        <v>0</v>
      </c>
      <c r="Z12" s="194">
        <f t="shared" ca="1" si="11"/>
        <v>0</v>
      </c>
    </row>
    <row r="13" spans="1:26" x14ac:dyDescent="0.25">
      <c r="B13" s="2" t="s">
        <v>63</v>
      </c>
      <c r="C13" s="192">
        <f>'Balance Sheet'!F13</f>
        <v>1402000</v>
      </c>
      <c r="D13" s="202">
        <f t="shared" si="1"/>
        <v>1402000</v>
      </c>
      <c r="E13" s="193">
        <f t="shared" si="0"/>
        <v>0</v>
      </c>
      <c r="F13" s="194">
        <f t="shared" si="2"/>
        <v>0</v>
      </c>
      <c r="H13" s="192">
        <f>'Balance Sheet'!G13</f>
        <v>1402000</v>
      </c>
      <c r="I13" s="193">
        <f t="shared" si="3"/>
        <v>1402000</v>
      </c>
      <c r="J13" s="193">
        <f t="shared" si="4"/>
        <v>0</v>
      </c>
      <c r="K13" s="194">
        <f t="shared" si="5"/>
        <v>0</v>
      </c>
      <c r="M13" s="192">
        <f>'Balance Sheet'!H13</f>
        <v>1402000</v>
      </c>
      <c r="N13" s="193">
        <f t="shared" si="14"/>
        <v>1402000</v>
      </c>
      <c r="O13" s="193">
        <f t="shared" si="6"/>
        <v>0</v>
      </c>
      <c r="P13" s="194">
        <f t="shared" si="7"/>
        <v>0</v>
      </c>
      <c r="R13" s="192">
        <f>'Balance Sheet'!I13</f>
        <v>1402000</v>
      </c>
      <c r="S13" s="193">
        <f t="shared" si="12"/>
        <v>1402000</v>
      </c>
      <c r="T13" s="193">
        <f t="shared" si="8"/>
        <v>0</v>
      </c>
      <c r="U13" s="194">
        <f t="shared" si="9"/>
        <v>0</v>
      </c>
      <c r="W13" s="192">
        <f>'Balance Sheet'!J13</f>
        <v>1402000</v>
      </c>
      <c r="X13" s="193">
        <f t="shared" si="13"/>
        <v>1402000</v>
      </c>
      <c r="Y13" s="193">
        <f t="shared" si="10"/>
        <v>0</v>
      </c>
      <c r="Z13" s="194">
        <f t="shared" si="11"/>
        <v>0</v>
      </c>
    </row>
    <row r="14" spans="1:26" x14ac:dyDescent="0.25">
      <c r="B14" s="2" t="s">
        <v>64</v>
      </c>
      <c r="C14" s="192">
        <f>'Balance Sheet'!F14</f>
        <v>41000</v>
      </c>
      <c r="D14" s="202">
        <f t="shared" si="1"/>
        <v>41000</v>
      </c>
      <c r="E14" s="193">
        <f t="shared" si="0"/>
        <v>0</v>
      </c>
      <c r="F14" s="194">
        <f t="shared" si="2"/>
        <v>0</v>
      </c>
      <c r="H14" s="192">
        <f>'Balance Sheet'!G14</f>
        <v>41000</v>
      </c>
      <c r="I14" s="193">
        <f t="shared" si="3"/>
        <v>41000</v>
      </c>
      <c r="J14" s="193">
        <f t="shared" si="4"/>
        <v>0</v>
      </c>
      <c r="K14" s="194">
        <f t="shared" si="5"/>
        <v>0</v>
      </c>
      <c r="M14" s="192">
        <f>'Balance Sheet'!H14</f>
        <v>41000</v>
      </c>
      <c r="N14" s="193">
        <f t="shared" si="14"/>
        <v>41000</v>
      </c>
      <c r="O14" s="193">
        <f t="shared" si="6"/>
        <v>0</v>
      </c>
      <c r="P14" s="194">
        <f t="shared" si="7"/>
        <v>0</v>
      </c>
      <c r="R14" s="192">
        <f>'Balance Sheet'!I14</f>
        <v>41000</v>
      </c>
      <c r="S14" s="193">
        <f t="shared" si="12"/>
        <v>41000</v>
      </c>
      <c r="T14" s="193">
        <f t="shared" si="8"/>
        <v>0</v>
      </c>
      <c r="U14" s="194">
        <f t="shared" si="9"/>
        <v>0</v>
      </c>
      <c r="W14" s="192">
        <f>'Balance Sheet'!J14</f>
        <v>41000</v>
      </c>
      <c r="X14" s="193">
        <f t="shared" si="13"/>
        <v>41000</v>
      </c>
      <c r="Y14" s="193">
        <f t="shared" si="10"/>
        <v>0</v>
      </c>
      <c r="Z14" s="194">
        <f t="shared" si="11"/>
        <v>0</v>
      </c>
    </row>
    <row r="15" spans="1:26" x14ac:dyDescent="0.25">
      <c r="B15" s="2" t="s">
        <v>65</v>
      </c>
      <c r="C15" s="192">
        <f>'Balance Sheet'!F15</f>
        <v>2366000</v>
      </c>
      <c r="D15" s="202">
        <f t="shared" si="1"/>
        <v>2366000</v>
      </c>
      <c r="E15" s="193">
        <f t="shared" si="0"/>
        <v>0</v>
      </c>
      <c r="F15" s="194">
        <f t="shared" si="2"/>
        <v>0</v>
      </c>
      <c r="H15" s="192">
        <f>'Balance Sheet'!G15</f>
        <v>2366000</v>
      </c>
      <c r="I15" s="193">
        <f t="shared" si="3"/>
        <v>2366000</v>
      </c>
      <c r="J15" s="193">
        <f t="shared" si="4"/>
        <v>0</v>
      </c>
      <c r="K15" s="194">
        <f t="shared" si="5"/>
        <v>0</v>
      </c>
      <c r="M15" s="192">
        <f>'Balance Sheet'!H15</f>
        <v>2366000</v>
      </c>
      <c r="N15" s="193">
        <f t="shared" si="14"/>
        <v>2366000</v>
      </c>
      <c r="O15" s="193">
        <f t="shared" si="6"/>
        <v>0</v>
      </c>
      <c r="P15" s="194">
        <f t="shared" si="7"/>
        <v>0</v>
      </c>
      <c r="R15" s="192">
        <f>'Balance Sheet'!I15</f>
        <v>2366000</v>
      </c>
      <c r="S15" s="193">
        <f t="shared" si="12"/>
        <v>2366000</v>
      </c>
      <c r="T15" s="193">
        <f t="shared" si="8"/>
        <v>0</v>
      </c>
      <c r="U15" s="194">
        <f t="shared" si="9"/>
        <v>0</v>
      </c>
      <c r="W15" s="192">
        <f>'Balance Sheet'!J15</f>
        <v>2366000</v>
      </c>
      <c r="X15" s="193">
        <f t="shared" si="13"/>
        <v>2366000</v>
      </c>
      <c r="Y15" s="193">
        <f t="shared" si="10"/>
        <v>0</v>
      </c>
      <c r="Z15" s="194">
        <f t="shared" si="11"/>
        <v>0</v>
      </c>
    </row>
    <row r="16" spans="1:26" x14ac:dyDescent="0.25">
      <c r="B16" s="2" t="s">
        <v>67</v>
      </c>
      <c r="C16" s="192">
        <f>'Balance Sheet'!F18</f>
        <v>114577000</v>
      </c>
      <c r="D16" s="202">
        <f t="shared" si="1"/>
        <v>114577000</v>
      </c>
      <c r="E16" s="193">
        <f t="shared" si="0"/>
        <v>0</v>
      </c>
      <c r="F16" s="194">
        <f t="shared" si="2"/>
        <v>0</v>
      </c>
      <c r="H16" s="192">
        <f>'Balance Sheet'!G18</f>
        <v>114954000</v>
      </c>
      <c r="I16" s="193">
        <f t="shared" si="3"/>
        <v>114954000</v>
      </c>
      <c r="J16" s="193">
        <f t="shared" si="4"/>
        <v>0</v>
      </c>
      <c r="K16" s="194">
        <f t="shared" si="5"/>
        <v>0</v>
      </c>
      <c r="M16" s="192">
        <f>'Balance Sheet'!H18</f>
        <v>115332000</v>
      </c>
      <c r="N16" s="193">
        <f t="shared" si="14"/>
        <v>115332000</v>
      </c>
      <c r="O16" s="193">
        <f t="shared" si="6"/>
        <v>0</v>
      </c>
      <c r="P16" s="194">
        <f t="shared" si="7"/>
        <v>0</v>
      </c>
      <c r="R16" s="192">
        <f>'Balance Sheet'!I18</f>
        <v>115712000</v>
      </c>
      <c r="S16" s="193">
        <f t="shared" si="12"/>
        <v>115712000</v>
      </c>
      <c r="T16" s="193">
        <f t="shared" si="8"/>
        <v>0</v>
      </c>
      <c r="U16" s="194">
        <f t="shared" si="9"/>
        <v>0</v>
      </c>
      <c r="W16" s="192">
        <f>'Balance Sheet'!J18</f>
        <v>116093000</v>
      </c>
      <c r="X16" s="193">
        <f t="shared" si="13"/>
        <v>116093000</v>
      </c>
      <c r="Y16" s="193">
        <f t="shared" si="10"/>
        <v>0</v>
      </c>
      <c r="Z16" s="194">
        <f t="shared" si="11"/>
        <v>0</v>
      </c>
    </row>
    <row r="17" spans="1:26" x14ac:dyDescent="0.25">
      <c r="B17" s="2" t="s">
        <v>61</v>
      </c>
      <c r="C17" s="192">
        <f>'Balance Sheet'!F19</f>
        <v>23000</v>
      </c>
      <c r="D17" s="202">
        <f t="shared" si="1"/>
        <v>23000</v>
      </c>
      <c r="E17" s="193">
        <f t="shared" si="0"/>
        <v>0</v>
      </c>
      <c r="F17" s="194">
        <f t="shared" si="2"/>
        <v>0</v>
      </c>
      <c r="H17" s="192">
        <f>'Balance Sheet'!G19</f>
        <v>25000</v>
      </c>
      <c r="I17" s="193">
        <f t="shared" si="3"/>
        <v>25000</v>
      </c>
      <c r="J17" s="193">
        <f t="shared" si="4"/>
        <v>0</v>
      </c>
      <c r="K17" s="194">
        <f t="shared" si="5"/>
        <v>0</v>
      </c>
      <c r="M17" s="192">
        <f>'Balance Sheet'!H19</f>
        <v>25000</v>
      </c>
      <c r="N17" s="193">
        <f t="shared" si="14"/>
        <v>25000</v>
      </c>
      <c r="O17" s="193">
        <f t="shared" si="6"/>
        <v>0</v>
      </c>
      <c r="P17" s="194">
        <f t="shared" si="7"/>
        <v>0</v>
      </c>
      <c r="R17" s="192">
        <f>'Balance Sheet'!I19</f>
        <v>25000</v>
      </c>
      <c r="S17" s="193">
        <f t="shared" si="12"/>
        <v>25000</v>
      </c>
      <c r="T17" s="193">
        <f t="shared" si="8"/>
        <v>0</v>
      </c>
      <c r="U17" s="194">
        <f t="shared" si="9"/>
        <v>0</v>
      </c>
      <c r="W17" s="192">
        <f>'Balance Sheet'!J19</f>
        <v>25000</v>
      </c>
      <c r="X17" s="193">
        <f t="shared" si="13"/>
        <v>25000</v>
      </c>
      <c r="Y17" s="193">
        <f t="shared" si="10"/>
        <v>0</v>
      </c>
      <c r="Z17" s="194">
        <f t="shared" si="11"/>
        <v>0</v>
      </c>
    </row>
    <row r="18" spans="1:26" x14ac:dyDescent="0.25">
      <c r="B18" s="2" t="s">
        <v>68</v>
      </c>
      <c r="C18" s="192">
        <f>'Balance Sheet'!F20</f>
        <v>21198000</v>
      </c>
      <c r="D18" s="202">
        <f t="shared" si="1"/>
        <v>21198000</v>
      </c>
      <c r="E18" s="193">
        <f t="shared" si="0"/>
        <v>0</v>
      </c>
      <c r="F18" s="194">
        <f t="shared" si="2"/>
        <v>0</v>
      </c>
      <c r="H18" s="192">
        <f>'Balance Sheet'!G20</f>
        <v>21268000</v>
      </c>
      <c r="I18" s="193">
        <f t="shared" si="3"/>
        <v>21268000</v>
      </c>
      <c r="J18" s="193">
        <f t="shared" si="4"/>
        <v>0</v>
      </c>
      <c r="K18" s="194">
        <f t="shared" si="5"/>
        <v>0</v>
      </c>
      <c r="M18" s="192">
        <f>'Balance Sheet'!H20</f>
        <v>21338000</v>
      </c>
      <c r="N18" s="193">
        <f t="shared" si="14"/>
        <v>21338000</v>
      </c>
      <c r="O18" s="193">
        <f t="shared" si="6"/>
        <v>0</v>
      </c>
      <c r="P18" s="194">
        <f t="shared" si="7"/>
        <v>0</v>
      </c>
      <c r="R18" s="192">
        <f>'Balance Sheet'!I20</f>
        <v>21408000</v>
      </c>
      <c r="S18" s="193">
        <f t="shared" si="12"/>
        <v>21408000</v>
      </c>
      <c r="T18" s="193">
        <f t="shared" si="8"/>
        <v>0</v>
      </c>
      <c r="U18" s="194">
        <f t="shared" si="9"/>
        <v>0</v>
      </c>
      <c r="W18" s="192">
        <f>'Balance Sheet'!J20</f>
        <v>21479000</v>
      </c>
      <c r="X18" s="193">
        <f t="shared" si="13"/>
        <v>21479000</v>
      </c>
      <c r="Y18" s="193">
        <f t="shared" si="10"/>
        <v>0</v>
      </c>
      <c r="Z18" s="194">
        <f t="shared" si="11"/>
        <v>0</v>
      </c>
    </row>
    <row r="19" spans="1:26" x14ac:dyDescent="0.25">
      <c r="B19" s="2" t="s">
        <v>69</v>
      </c>
      <c r="C19" s="192">
        <f>'Balance Sheet'!F21</f>
        <v>198000</v>
      </c>
      <c r="D19" s="202">
        <f t="shared" si="1"/>
        <v>198000</v>
      </c>
      <c r="E19" s="193">
        <f t="shared" si="0"/>
        <v>0</v>
      </c>
      <c r="F19" s="194">
        <f t="shared" si="2"/>
        <v>0</v>
      </c>
      <c r="H19" s="192">
        <f>'Balance Sheet'!G21</f>
        <v>198000</v>
      </c>
      <c r="I19" s="193">
        <f t="shared" si="3"/>
        <v>198000</v>
      </c>
      <c r="J19" s="193">
        <f t="shared" si="4"/>
        <v>0</v>
      </c>
      <c r="K19" s="194">
        <f t="shared" si="5"/>
        <v>0</v>
      </c>
      <c r="M19" s="192">
        <f>'Balance Sheet'!H21</f>
        <v>198000</v>
      </c>
      <c r="N19" s="193">
        <f t="shared" si="14"/>
        <v>198000</v>
      </c>
      <c r="O19" s="193">
        <f t="shared" si="6"/>
        <v>0</v>
      </c>
      <c r="P19" s="194">
        <f t="shared" si="7"/>
        <v>0</v>
      </c>
      <c r="R19" s="192">
        <f>'Balance Sheet'!I21</f>
        <v>198000</v>
      </c>
      <c r="S19" s="193">
        <f t="shared" si="12"/>
        <v>198000</v>
      </c>
      <c r="T19" s="193">
        <f t="shared" si="8"/>
        <v>0</v>
      </c>
      <c r="U19" s="194">
        <f t="shared" si="9"/>
        <v>0</v>
      </c>
      <c r="W19" s="192">
        <f>'Balance Sheet'!J21</f>
        <v>198000</v>
      </c>
      <c r="X19" s="193">
        <f t="shared" si="13"/>
        <v>198000</v>
      </c>
      <c r="Y19" s="193">
        <f t="shared" si="10"/>
        <v>0</v>
      </c>
      <c r="Z19" s="194">
        <f t="shared" si="11"/>
        <v>0</v>
      </c>
    </row>
    <row r="20" spans="1:26" x14ac:dyDescent="0.25">
      <c r="B20" s="2" t="s">
        <v>65</v>
      </c>
      <c r="C20" s="192">
        <f>'Balance Sheet'!F22</f>
        <v>19694000</v>
      </c>
      <c r="D20" s="202">
        <f t="shared" si="1"/>
        <v>19694000</v>
      </c>
      <c r="E20" s="193">
        <f t="shared" si="0"/>
        <v>0</v>
      </c>
      <c r="F20" s="194">
        <f t="shared" si="2"/>
        <v>0</v>
      </c>
      <c r="H20" s="192">
        <f>'Balance Sheet'!G22</f>
        <v>19759000</v>
      </c>
      <c r="I20" s="193">
        <f t="shared" si="3"/>
        <v>19759000</v>
      </c>
      <c r="J20" s="193">
        <f t="shared" si="4"/>
        <v>0</v>
      </c>
      <c r="K20" s="194">
        <f t="shared" si="5"/>
        <v>0</v>
      </c>
      <c r="M20" s="192">
        <f>'Balance Sheet'!H22</f>
        <v>19824000</v>
      </c>
      <c r="N20" s="193">
        <f t="shared" si="14"/>
        <v>19824000</v>
      </c>
      <c r="O20" s="193">
        <f t="shared" si="6"/>
        <v>0</v>
      </c>
      <c r="P20" s="194">
        <f t="shared" si="7"/>
        <v>0</v>
      </c>
      <c r="R20" s="192">
        <f>'Balance Sheet'!I22</f>
        <v>19889000</v>
      </c>
      <c r="S20" s="193">
        <f t="shared" si="12"/>
        <v>19889000</v>
      </c>
      <c r="T20" s="193">
        <f t="shared" si="8"/>
        <v>0</v>
      </c>
      <c r="U20" s="194">
        <f t="shared" si="9"/>
        <v>0</v>
      </c>
      <c r="W20" s="192">
        <f>'Balance Sheet'!J22</f>
        <v>19955000</v>
      </c>
      <c r="X20" s="193">
        <f t="shared" si="13"/>
        <v>19955000</v>
      </c>
      <c r="Y20" s="193">
        <f t="shared" si="10"/>
        <v>0</v>
      </c>
      <c r="Z20" s="194">
        <f t="shared" si="11"/>
        <v>0</v>
      </c>
    </row>
    <row r="21" spans="1:26" x14ac:dyDescent="0.25">
      <c r="B21" s="2" t="s">
        <v>70</v>
      </c>
      <c r="C21" s="192">
        <f ca="1">'Balance Sheet'!F23</f>
        <v>377000</v>
      </c>
      <c r="D21" s="202">
        <f t="shared" ca="1" si="1"/>
        <v>377000</v>
      </c>
      <c r="E21" s="193">
        <f t="shared" ca="1" si="0"/>
        <v>0</v>
      </c>
      <c r="F21" s="194">
        <f t="shared" ca="1" si="2"/>
        <v>0</v>
      </c>
      <c r="H21" s="192">
        <f ca="1">'Balance Sheet'!G23</f>
        <v>377000</v>
      </c>
      <c r="I21" s="193">
        <f t="shared" ca="1" si="3"/>
        <v>377000</v>
      </c>
      <c r="J21" s="193">
        <f t="shared" ca="1" si="4"/>
        <v>0</v>
      </c>
      <c r="K21" s="194">
        <f t="shared" ca="1" si="5"/>
        <v>0</v>
      </c>
      <c r="M21" s="192">
        <f ca="1">'Balance Sheet'!H23</f>
        <v>377000</v>
      </c>
      <c r="N21" s="193">
        <f t="shared" ca="1" si="14"/>
        <v>377000</v>
      </c>
      <c r="O21" s="193">
        <f t="shared" ca="1" si="6"/>
        <v>0</v>
      </c>
      <c r="P21" s="194">
        <f t="shared" ca="1" si="7"/>
        <v>0</v>
      </c>
      <c r="R21" s="192">
        <f ca="1">'Balance Sheet'!I23</f>
        <v>377000</v>
      </c>
      <c r="S21" s="193">
        <f t="shared" ca="1" si="12"/>
        <v>377000</v>
      </c>
      <c r="T21" s="193">
        <f t="shared" ca="1" si="8"/>
        <v>0</v>
      </c>
      <c r="U21" s="194">
        <f t="shared" ca="1" si="9"/>
        <v>0</v>
      </c>
      <c r="W21" s="192">
        <f ca="1">'Balance Sheet'!J23</f>
        <v>377000</v>
      </c>
      <c r="X21" s="193">
        <f t="shared" ca="1" si="13"/>
        <v>377000</v>
      </c>
      <c r="Y21" s="193">
        <f t="shared" ca="1" si="10"/>
        <v>0</v>
      </c>
      <c r="Z21" s="194">
        <f t="shared" ca="1" si="11"/>
        <v>0</v>
      </c>
    </row>
    <row r="22" spans="1:26" x14ac:dyDescent="0.25">
      <c r="B22" s="2" t="s">
        <v>74</v>
      </c>
      <c r="C22" s="192">
        <f>-'Balance Sheet'!F29</f>
        <v>-2050000</v>
      </c>
      <c r="D22" s="202">
        <f t="shared" si="1"/>
        <v>-2050000</v>
      </c>
      <c r="E22" s="193">
        <f t="shared" si="0"/>
        <v>0</v>
      </c>
      <c r="F22" s="194">
        <f t="shared" si="2"/>
        <v>0</v>
      </c>
      <c r="H22" s="192">
        <f>-'Balance Sheet'!G29</f>
        <v>-2050000</v>
      </c>
      <c r="I22" s="193">
        <f t="shared" si="3"/>
        <v>-2050000</v>
      </c>
      <c r="J22" s="193">
        <f t="shared" si="4"/>
        <v>0</v>
      </c>
      <c r="K22" s="194">
        <f t="shared" si="5"/>
        <v>0</v>
      </c>
      <c r="M22" s="192">
        <f>-'Balance Sheet'!H29</f>
        <v>-2050000</v>
      </c>
      <c r="N22" s="193">
        <f t="shared" si="14"/>
        <v>-2050000</v>
      </c>
      <c r="O22" s="193">
        <f t="shared" si="6"/>
        <v>0</v>
      </c>
      <c r="P22" s="194">
        <f t="shared" si="7"/>
        <v>0</v>
      </c>
      <c r="R22" s="192">
        <f>-'Balance Sheet'!I29</f>
        <v>-2050000</v>
      </c>
      <c r="S22" s="193">
        <f t="shared" si="12"/>
        <v>-2050000</v>
      </c>
      <c r="T22" s="193">
        <f t="shared" si="8"/>
        <v>0</v>
      </c>
      <c r="U22" s="194">
        <f t="shared" si="9"/>
        <v>0</v>
      </c>
      <c r="W22" s="192">
        <f>-'Balance Sheet'!J29</f>
        <v>-2050000</v>
      </c>
      <c r="X22" s="193">
        <f t="shared" si="13"/>
        <v>-2050000</v>
      </c>
      <c r="Y22" s="193">
        <f t="shared" si="10"/>
        <v>0</v>
      </c>
      <c r="Z22" s="194">
        <f t="shared" si="11"/>
        <v>0</v>
      </c>
    </row>
    <row r="23" spans="1:26" x14ac:dyDescent="0.25">
      <c r="B23" s="2" t="s">
        <v>75</v>
      </c>
      <c r="C23" s="192">
        <f>-'Balance Sheet'!F30</f>
        <v>-75377000</v>
      </c>
      <c r="D23" s="202">
        <f t="shared" si="1"/>
        <v>-75377000</v>
      </c>
      <c r="E23" s="193">
        <f t="shared" si="0"/>
        <v>0</v>
      </c>
      <c r="F23" s="194">
        <f t="shared" si="2"/>
        <v>0</v>
      </c>
      <c r="H23" s="192">
        <f>-'Balance Sheet'!G30</f>
        <v>-75377000</v>
      </c>
      <c r="I23" s="193">
        <f t="shared" si="3"/>
        <v>-75377000</v>
      </c>
      <c r="J23" s="193">
        <f t="shared" si="4"/>
        <v>0</v>
      </c>
      <c r="K23" s="194">
        <f t="shared" si="5"/>
        <v>0</v>
      </c>
      <c r="M23" s="192">
        <f>-'Balance Sheet'!H30</f>
        <v>-75377000</v>
      </c>
      <c r="N23" s="193">
        <f t="shared" si="14"/>
        <v>-75377000</v>
      </c>
      <c r="O23" s="193">
        <f t="shared" si="6"/>
        <v>0</v>
      </c>
      <c r="P23" s="194">
        <f t="shared" si="7"/>
        <v>0</v>
      </c>
      <c r="R23" s="192">
        <f>-'Balance Sheet'!I30</f>
        <v>-75377000</v>
      </c>
      <c r="S23" s="193">
        <f t="shared" si="12"/>
        <v>-75377000</v>
      </c>
      <c r="T23" s="193">
        <f t="shared" si="8"/>
        <v>0</v>
      </c>
      <c r="U23" s="194">
        <f t="shared" si="9"/>
        <v>0</v>
      </c>
      <c r="W23" s="192">
        <f>-'Balance Sheet'!J30</f>
        <v>-75377000</v>
      </c>
      <c r="X23" s="193">
        <f t="shared" si="13"/>
        <v>-75377000</v>
      </c>
      <c r="Y23" s="193">
        <f t="shared" si="10"/>
        <v>0</v>
      </c>
      <c r="Z23" s="194">
        <f t="shared" si="11"/>
        <v>0</v>
      </c>
    </row>
    <row r="24" spans="1:26" x14ac:dyDescent="0.25">
      <c r="B24" s="2" t="s">
        <v>76</v>
      </c>
      <c r="C24" s="192">
        <f>-'Balance Sheet'!F31</f>
        <v>94000</v>
      </c>
      <c r="D24" s="202">
        <f t="shared" si="1"/>
        <v>94000</v>
      </c>
      <c r="E24" s="193">
        <f t="shared" si="0"/>
        <v>0</v>
      </c>
      <c r="F24" s="194">
        <f t="shared" si="2"/>
        <v>0</v>
      </c>
      <c r="H24" s="192">
        <f>-'Balance Sheet'!G31</f>
        <v>94000</v>
      </c>
      <c r="I24" s="193">
        <f t="shared" si="3"/>
        <v>94000</v>
      </c>
      <c r="J24" s="193">
        <f t="shared" si="4"/>
        <v>0</v>
      </c>
      <c r="K24" s="194">
        <f t="shared" si="5"/>
        <v>0</v>
      </c>
      <c r="M24" s="192">
        <f>-'Balance Sheet'!H31</f>
        <v>94000</v>
      </c>
      <c r="N24" s="193">
        <f t="shared" si="14"/>
        <v>94000</v>
      </c>
      <c r="O24" s="193">
        <f t="shared" si="6"/>
        <v>0</v>
      </c>
      <c r="P24" s="194">
        <f t="shared" si="7"/>
        <v>0</v>
      </c>
      <c r="R24" s="192">
        <f>-'Balance Sheet'!I31</f>
        <v>94000</v>
      </c>
      <c r="S24" s="193">
        <f t="shared" si="12"/>
        <v>94000</v>
      </c>
      <c r="T24" s="193">
        <f t="shared" si="8"/>
        <v>0</v>
      </c>
      <c r="U24" s="194">
        <f t="shared" si="9"/>
        <v>0</v>
      </c>
      <c r="W24" s="192">
        <f>-'Balance Sheet'!J31</f>
        <v>94000</v>
      </c>
      <c r="X24" s="193">
        <f t="shared" si="13"/>
        <v>94000</v>
      </c>
      <c r="Y24" s="193">
        <f t="shared" si="10"/>
        <v>0</v>
      </c>
      <c r="Z24" s="194">
        <f t="shared" si="11"/>
        <v>0</v>
      </c>
    </row>
    <row r="25" spans="1:26" x14ac:dyDescent="0.25">
      <c r="B25" s="2" t="s">
        <v>77</v>
      </c>
      <c r="C25" s="192">
        <f ca="1">-'Balance Sheet'!F32</f>
        <v>-75401000</v>
      </c>
      <c r="D25" s="202">
        <f t="shared" ca="1" si="1"/>
        <v>-75401000</v>
      </c>
      <c r="E25" s="193">
        <f t="shared" ca="1" si="0"/>
        <v>0</v>
      </c>
      <c r="F25" s="194">
        <f t="shared" ca="1" si="2"/>
        <v>0</v>
      </c>
      <c r="H25" s="192">
        <f ca="1">-'Balance Sheet'!G32</f>
        <v>-82340000</v>
      </c>
      <c r="I25" s="193">
        <f t="shared" ca="1" si="3"/>
        <v>-82340000</v>
      </c>
      <c r="J25" s="193">
        <f t="shared" ca="1" si="4"/>
        <v>0</v>
      </c>
      <c r="K25" s="194">
        <f t="shared" ca="1" si="5"/>
        <v>0</v>
      </c>
      <c r="M25" s="192">
        <f ca="1">-'Balance Sheet'!H32</f>
        <v>-89113000</v>
      </c>
      <c r="N25" s="193">
        <f t="shared" ca="1" si="14"/>
        <v>-89113000</v>
      </c>
      <c r="O25" s="193">
        <f t="shared" ca="1" si="6"/>
        <v>0</v>
      </c>
      <c r="P25" s="194">
        <f t="shared" ca="1" si="7"/>
        <v>0</v>
      </c>
      <c r="R25" s="192">
        <f ca="1">-'Balance Sheet'!I32</f>
        <v>-110531000</v>
      </c>
      <c r="S25" s="193">
        <f t="shared" ca="1" si="12"/>
        <v>-110531000</v>
      </c>
      <c r="T25" s="193">
        <f t="shared" ca="1" si="8"/>
        <v>0</v>
      </c>
      <c r="U25" s="194">
        <f t="shared" ca="1" si="9"/>
        <v>0</v>
      </c>
      <c r="W25" s="192">
        <f ca="1">-'Balance Sheet'!J32</f>
        <v>-119979000</v>
      </c>
      <c r="X25" s="193">
        <f t="shared" ca="1" si="13"/>
        <v>-119979000</v>
      </c>
      <c r="Y25" s="193">
        <f t="shared" ca="1" si="10"/>
        <v>0</v>
      </c>
      <c r="Z25" s="194">
        <f t="shared" ca="1" si="11"/>
        <v>0</v>
      </c>
    </row>
    <row r="26" spans="1:26" x14ac:dyDescent="0.25">
      <c r="A26" s="1" t="s">
        <v>78</v>
      </c>
      <c r="B26" s="1"/>
      <c r="C26" s="192"/>
      <c r="D26" s="202"/>
      <c r="E26" s="193">
        <f t="shared" si="0"/>
        <v>0</v>
      </c>
      <c r="F26" s="194">
        <f t="shared" si="2"/>
        <v>0</v>
      </c>
      <c r="H26" s="192"/>
      <c r="I26" s="193"/>
      <c r="J26" s="193">
        <f t="shared" si="4"/>
        <v>0</v>
      </c>
      <c r="K26" s="194">
        <f t="shared" si="5"/>
        <v>0</v>
      </c>
      <c r="M26" s="192"/>
      <c r="N26" s="193">
        <f t="shared" si="14"/>
        <v>0</v>
      </c>
      <c r="O26" s="193">
        <f t="shared" si="6"/>
        <v>0</v>
      </c>
      <c r="P26" s="194">
        <f t="shared" si="7"/>
        <v>0</v>
      </c>
      <c r="R26" s="192"/>
      <c r="S26" s="193">
        <f>R26</f>
        <v>0</v>
      </c>
      <c r="T26" s="193">
        <f t="shared" si="8"/>
        <v>0</v>
      </c>
      <c r="U26" s="194">
        <f t="shared" si="9"/>
        <v>0</v>
      </c>
      <c r="W26" s="192"/>
      <c r="X26" s="200"/>
      <c r="Y26" s="193">
        <f t="shared" si="10"/>
        <v>0</v>
      </c>
      <c r="Z26" s="194">
        <f t="shared" si="11"/>
        <v>0</v>
      </c>
    </row>
    <row r="27" spans="1:26" x14ac:dyDescent="0.25">
      <c r="B27" s="2" t="s">
        <v>79</v>
      </c>
      <c r="C27" s="192">
        <f>-'Balance Sheet'!F34</f>
        <v>-7261000</v>
      </c>
      <c r="D27" s="202">
        <f>C27</f>
        <v>-7261000</v>
      </c>
      <c r="E27" s="193">
        <f t="shared" si="0"/>
        <v>0</v>
      </c>
      <c r="F27" s="194">
        <f t="shared" si="2"/>
        <v>0</v>
      </c>
      <c r="H27" s="192">
        <f>-'Balance Sheet'!G34</f>
        <v>-7261000</v>
      </c>
      <c r="I27" s="193">
        <f>H27</f>
        <v>-7261000</v>
      </c>
      <c r="J27" s="193">
        <f t="shared" si="4"/>
        <v>0</v>
      </c>
      <c r="K27" s="194">
        <f t="shared" si="5"/>
        <v>0</v>
      </c>
      <c r="M27" s="192">
        <f>-'Balance Sheet'!H34</f>
        <v>-7261000</v>
      </c>
      <c r="N27" s="193">
        <f t="shared" si="14"/>
        <v>-7261000</v>
      </c>
      <c r="O27" s="193">
        <f t="shared" si="6"/>
        <v>0</v>
      </c>
      <c r="P27" s="194">
        <f t="shared" si="7"/>
        <v>0</v>
      </c>
      <c r="R27" s="192">
        <f>-'Balance Sheet'!I34</f>
        <v>-7261000</v>
      </c>
      <c r="S27" s="193">
        <f t="shared" si="12"/>
        <v>-7261000</v>
      </c>
      <c r="T27" s="193">
        <f t="shared" si="8"/>
        <v>0</v>
      </c>
      <c r="U27" s="194">
        <f t="shared" si="9"/>
        <v>0</v>
      </c>
      <c r="W27" s="192">
        <f>-'Balance Sheet'!J34</f>
        <v>-7261000</v>
      </c>
      <c r="X27" s="193">
        <f>W27</f>
        <v>-7261000</v>
      </c>
      <c r="Y27" s="193">
        <f t="shared" si="10"/>
        <v>0</v>
      </c>
      <c r="Z27" s="194">
        <f t="shared" si="11"/>
        <v>0</v>
      </c>
    </row>
    <row r="28" spans="1:26" x14ac:dyDescent="0.25">
      <c r="B28" s="2" t="s">
        <v>82</v>
      </c>
      <c r="C28" s="192">
        <f ca="1">-'Balance Sheet'!F38</f>
        <v>-41608000</v>
      </c>
      <c r="D28" s="202">
        <f ca="1">C28</f>
        <v>-41608000</v>
      </c>
      <c r="E28" s="193">
        <f t="shared" ca="1" si="0"/>
        <v>0</v>
      </c>
      <c r="F28" s="194">
        <f t="shared" ca="1" si="2"/>
        <v>0</v>
      </c>
      <c r="H28" s="192">
        <f ca="1">-'Balance Sheet'!G38</f>
        <v>-36985000</v>
      </c>
      <c r="I28" s="193">
        <f ca="1">H28</f>
        <v>-36985000</v>
      </c>
      <c r="J28" s="193">
        <f t="shared" ca="1" si="4"/>
        <v>0</v>
      </c>
      <c r="K28" s="194">
        <f t="shared" ca="1" si="5"/>
        <v>0</v>
      </c>
      <c r="M28" s="192">
        <f ca="1">-'Balance Sheet'!H38</f>
        <v>-32362000</v>
      </c>
      <c r="N28" s="193">
        <f t="shared" ca="1" si="14"/>
        <v>-32362000</v>
      </c>
      <c r="O28" s="193">
        <f t="shared" ca="1" si="6"/>
        <v>0</v>
      </c>
      <c r="P28" s="194">
        <f t="shared" ca="1" si="7"/>
        <v>0</v>
      </c>
      <c r="R28" s="192">
        <f ca="1">-'Balance Sheet'!I38</f>
        <v>-27739000</v>
      </c>
      <c r="S28" s="193">
        <f t="shared" ca="1" si="12"/>
        <v>-27739000</v>
      </c>
      <c r="T28" s="193">
        <f t="shared" ca="1" si="8"/>
        <v>0</v>
      </c>
      <c r="U28" s="194">
        <f t="shared" ca="1" si="9"/>
        <v>0</v>
      </c>
      <c r="W28" s="192">
        <f ca="1">-'Balance Sheet'!J38</f>
        <v>-23116000</v>
      </c>
      <c r="X28" s="193">
        <f t="shared" ref="X28:X40" ca="1" si="15">W28</f>
        <v>-23116000</v>
      </c>
      <c r="Y28" s="193">
        <f t="shared" ca="1" si="10"/>
        <v>0</v>
      </c>
      <c r="Z28" s="194">
        <f t="shared" ca="1" si="11"/>
        <v>0</v>
      </c>
    </row>
    <row r="29" spans="1:26" x14ac:dyDescent="0.25">
      <c r="B29" s="2" t="s">
        <v>83</v>
      </c>
      <c r="C29" s="192">
        <f>-'Balance Sheet'!F39</f>
        <v>-5848000</v>
      </c>
      <c r="D29" s="202">
        <v>0</v>
      </c>
      <c r="E29" s="193">
        <f t="shared" si="0"/>
        <v>5848000</v>
      </c>
      <c r="F29" s="194">
        <f t="shared" si="2"/>
        <v>1754400</v>
      </c>
      <c r="H29" s="192">
        <f>-'Balance Sheet'!G39</f>
        <v>-5848000</v>
      </c>
      <c r="I29" s="193">
        <v>0</v>
      </c>
      <c r="J29" s="193">
        <f t="shared" si="4"/>
        <v>5848000</v>
      </c>
      <c r="K29" s="194">
        <f t="shared" si="5"/>
        <v>1754400</v>
      </c>
      <c r="M29" s="192">
        <f>-'Balance Sheet'!H39</f>
        <v>-5848000</v>
      </c>
      <c r="N29" s="193">
        <v>0</v>
      </c>
      <c r="O29" s="193">
        <f t="shared" si="6"/>
        <v>5848000</v>
      </c>
      <c r="P29" s="194">
        <f t="shared" si="7"/>
        <v>1754400</v>
      </c>
      <c r="R29" s="192">
        <f>-'Balance Sheet'!I39</f>
        <v>-5848000</v>
      </c>
      <c r="S29" s="193">
        <v>0</v>
      </c>
      <c r="T29" s="193">
        <f t="shared" si="8"/>
        <v>5848000</v>
      </c>
      <c r="U29" s="194">
        <f t="shared" si="9"/>
        <v>1754400</v>
      </c>
      <c r="W29" s="192">
        <f>-'Balance Sheet'!J39</f>
        <v>-5848000</v>
      </c>
      <c r="X29" s="193">
        <v>0</v>
      </c>
      <c r="Y29" s="193">
        <f t="shared" si="10"/>
        <v>5848000</v>
      </c>
      <c r="Z29" s="194">
        <f t="shared" si="11"/>
        <v>1754400</v>
      </c>
    </row>
    <row r="30" spans="1:26" x14ac:dyDescent="0.25">
      <c r="B30" s="2" t="s">
        <v>84</v>
      </c>
      <c r="C30" s="192">
        <f>-'Balance Sheet'!F40</f>
        <v>-2183000</v>
      </c>
      <c r="D30" s="202">
        <v>0</v>
      </c>
      <c r="E30" s="193">
        <f t="shared" si="0"/>
        <v>2183000</v>
      </c>
      <c r="F30" s="194">
        <f t="shared" si="2"/>
        <v>654900</v>
      </c>
      <c r="H30" s="192">
        <f>-'Balance Sheet'!G40</f>
        <v>-2183000</v>
      </c>
      <c r="I30" s="193">
        <v>0</v>
      </c>
      <c r="J30" s="193">
        <f t="shared" si="4"/>
        <v>2183000</v>
      </c>
      <c r="K30" s="194">
        <f t="shared" si="5"/>
        <v>654900</v>
      </c>
      <c r="M30" s="192">
        <f>-'Balance Sheet'!H40</f>
        <v>-2183000</v>
      </c>
      <c r="N30" s="193">
        <v>0</v>
      </c>
      <c r="O30" s="193">
        <f t="shared" si="6"/>
        <v>2183000</v>
      </c>
      <c r="P30" s="194">
        <f t="shared" si="7"/>
        <v>654900</v>
      </c>
      <c r="R30" s="192">
        <f>-'Balance Sheet'!I40</f>
        <v>-2183000</v>
      </c>
      <c r="S30" s="193">
        <v>0</v>
      </c>
      <c r="T30" s="193">
        <f t="shared" si="8"/>
        <v>2183000</v>
      </c>
      <c r="U30" s="194">
        <f t="shared" si="9"/>
        <v>654900</v>
      </c>
      <c r="W30" s="192">
        <f>-'Balance Sheet'!J40</f>
        <v>-2183000</v>
      </c>
      <c r="X30" s="193">
        <v>0</v>
      </c>
      <c r="Y30" s="193">
        <f t="shared" si="10"/>
        <v>2183000</v>
      </c>
      <c r="Z30" s="194">
        <f t="shared" si="11"/>
        <v>654900</v>
      </c>
    </row>
    <row r="31" spans="1:26" x14ac:dyDescent="0.25">
      <c r="B31" s="2" t="s">
        <v>85</v>
      </c>
      <c r="C31" s="192">
        <f ca="1">-'Balance Sheet'!F41</f>
        <v>-6462000</v>
      </c>
      <c r="D31" s="202">
        <f ca="1">C31</f>
        <v>-6462000</v>
      </c>
      <c r="E31" s="193">
        <f t="shared" ca="1" si="0"/>
        <v>0</v>
      </c>
      <c r="F31" s="194">
        <f t="shared" ca="1" si="2"/>
        <v>0</v>
      </c>
      <c r="H31" s="192">
        <f ca="1">-'Balance Sheet'!G41</f>
        <v>-7358000</v>
      </c>
      <c r="I31" s="193">
        <f ca="1">H31</f>
        <v>-7358000</v>
      </c>
      <c r="J31" s="193">
        <f t="shared" ca="1" si="4"/>
        <v>0</v>
      </c>
      <c r="K31" s="194">
        <f t="shared" ca="1" si="5"/>
        <v>0</v>
      </c>
      <c r="M31" s="192">
        <f ca="1">-'Balance Sheet'!H41</f>
        <v>-7542000</v>
      </c>
      <c r="N31" s="193">
        <f t="shared" ca="1" si="14"/>
        <v>-7542000</v>
      </c>
      <c r="O31" s="193">
        <f t="shared" ca="1" si="6"/>
        <v>0</v>
      </c>
      <c r="P31" s="194">
        <f t="shared" ca="1" si="7"/>
        <v>0</v>
      </c>
      <c r="R31" s="192">
        <f ca="1">-'Balance Sheet'!I41</f>
        <v>0</v>
      </c>
      <c r="S31" s="193">
        <f t="shared" ca="1" si="12"/>
        <v>0</v>
      </c>
      <c r="T31" s="193">
        <f t="shared" ca="1" si="8"/>
        <v>0</v>
      </c>
      <c r="U31" s="194">
        <f t="shared" ca="1" si="9"/>
        <v>0</v>
      </c>
      <c r="W31" s="192">
        <f ca="1">-'Balance Sheet'!J41</f>
        <v>0</v>
      </c>
      <c r="X31" s="193">
        <f t="shared" ca="1" si="15"/>
        <v>0</v>
      </c>
      <c r="Y31" s="193">
        <f t="shared" ca="1" si="10"/>
        <v>0</v>
      </c>
      <c r="Z31" s="194">
        <f t="shared" ca="1" si="11"/>
        <v>0</v>
      </c>
    </row>
    <row r="32" spans="1:26" x14ac:dyDescent="0.25">
      <c r="B32" s="2" t="s">
        <v>86</v>
      </c>
      <c r="C32" s="192">
        <f>-'Balance Sheet'!F42</f>
        <v>-16371000</v>
      </c>
      <c r="D32" s="202">
        <v>0</v>
      </c>
      <c r="E32" s="193">
        <f t="shared" si="0"/>
        <v>16371000</v>
      </c>
      <c r="F32" s="194">
        <f t="shared" si="2"/>
        <v>4911300</v>
      </c>
      <c r="H32" s="192">
        <f>-'Balance Sheet'!G42</f>
        <v>-16371000</v>
      </c>
      <c r="I32" s="193">
        <v>0</v>
      </c>
      <c r="J32" s="193">
        <f t="shared" si="4"/>
        <v>16371000</v>
      </c>
      <c r="K32" s="194">
        <f t="shared" si="5"/>
        <v>4911300</v>
      </c>
      <c r="M32" s="192">
        <f>-'Balance Sheet'!H42</f>
        <v>-16371000</v>
      </c>
      <c r="N32" s="193">
        <v>0</v>
      </c>
      <c r="O32" s="193">
        <f t="shared" si="6"/>
        <v>16371000</v>
      </c>
      <c r="P32" s="194">
        <f t="shared" si="7"/>
        <v>4911300</v>
      </c>
      <c r="R32" s="192">
        <f>-'Balance Sheet'!I42</f>
        <v>-16371000</v>
      </c>
      <c r="S32" s="193">
        <v>0</v>
      </c>
      <c r="T32" s="193">
        <f t="shared" si="8"/>
        <v>16371000</v>
      </c>
      <c r="U32" s="194">
        <f t="shared" si="9"/>
        <v>4911300</v>
      </c>
      <c r="W32" s="192">
        <f>-'Balance Sheet'!J42</f>
        <v>-16371000</v>
      </c>
      <c r="X32" s="193">
        <v>0</v>
      </c>
      <c r="Y32" s="193">
        <f t="shared" si="10"/>
        <v>16371000</v>
      </c>
      <c r="Z32" s="194">
        <f t="shared" si="11"/>
        <v>4911300</v>
      </c>
    </row>
    <row r="33" spans="1:26" x14ac:dyDescent="0.25">
      <c r="B33" s="2" t="s">
        <v>88</v>
      </c>
      <c r="C33" s="192">
        <f>-'Balance Sheet'!F45</f>
        <v>0</v>
      </c>
      <c r="D33" s="202"/>
      <c r="E33" s="193">
        <f t="shared" si="0"/>
        <v>0</v>
      </c>
      <c r="F33" s="194">
        <f t="shared" si="2"/>
        <v>0</v>
      </c>
      <c r="H33" s="192">
        <f>-'Balance Sheet'!G45</f>
        <v>0</v>
      </c>
      <c r="I33" s="193"/>
      <c r="J33" s="193">
        <f t="shared" si="4"/>
        <v>0</v>
      </c>
      <c r="K33" s="194">
        <f t="shared" si="5"/>
        <v>0</v>
      </c>
      <c r="M33" s="192">
        <f>-'Balance Sheet'!H45</f>
        <v>0</v>
      </c>
      <c r="N33" s="193">
        <f t="shared" si="14"/>
        <v>0</v>
      </c>
      <c r="O33" s="193">
        <f t="shared" si="6"/>
        <v>0</v>
      </c>
      <c r="P33" s="194">
        <f t="shared" si="7"/>
        <v>0</v>
      </c>
      <c r="R33" s="192">
        <f>-'Balance Sheet'!I45</f>
        <v>0</v>
      </c>
      <c r="S33" s="193">
        <f t="shared" si="12"/>
        <v>0</v>
      </c>
      <c r="T33" s="193">
        <f t="shared" si="8"/>
        <v>0</v>
      </c>
      <c r="U33" s="194">
        <f t="shared" si="9"/>
        <v>0</v>
      </c>
      <c r="W33" s="192">
        <f>-'Balance Sheet'!J45</f>
        <v>0</v>
      </c>
      <c r="X33" s="193">
        <f t="shared" si="15"/>
        <v>0</v>
      </c>
      <c r="Y33" s="193">
        <f t="shared" si="10"/>
        <v>0</v>
      </c>
      <c r="Z33" s="194">
        <f t="shared" si="11"/>
        <v>0</v>
      </c>
    </row>
    <row r="34" spans="1:26" x14ac:dyDescent="0.25">
      <c r="B34" s="2" t="s">
        <v>98</v>
      </c>
      <c r="C34" s="192">
        <f>-'Balance Sheet'!F46</f>
        <v>0</v>
      </c>
      <c r="D34" s="202"/>
      <c r="E34" s="193">
        <f t="shared" si="0"/>
        <v>0</v>
      </c>
      <c r="F34" s="194">
        <f t="shared" si="2"/>
        <v>0</v>
      </c>
      <c r="H34" s="192">
        <f>-'Balance Sheet'!G46</f>
        <v>0</v>
      </c>
      <c r="I34" s="193"/>
      <c r="J34" s="193">
        <f t="shared" si="4"/>
        <v>0</v>
      </c>
      <c r="K34" s="194">
        <f t="shared" si="5"/>
        <v>0</v>
      </c>
      <c r="M34" s="192">
        <f>-'Balance Sheet'!H46</f>
        <v>0</v>
      </c>
      <c r="N34" s="193">
        <f t="shared" si="14"/>
        <v>0</v>
      </c>
      <c r="O34" s="193">
        <f t="shared" si="6"/>
        <v>0</v>
      </c>
      <c r="P34" s="194">
        <f t="shared" si="7"/>
        <v>0</v>
      </c>
      <c r="R34" s="192">
        <f>-'Balance Sheet'!I46</f>
        <v>0</v>
      </c>
      <c r="S34" s="193">
        <f t="shared" si="12"/>
        <v>0</v>
      </c>
      <c r="T34" s="193">
        <f t="shared" si="8"/>
        <v>0</v>
      </c>
      <c r="U34" s="194">
        <f t="shared" si="9"/>
        <v>0</v>
      </c>
      <c r="W34" s="192">
        <f>-'Balance Sheet'!J46</f>
        <v>0</v>
      </c>
      <c r="X34" s="193">
        <f t="shared" si="15"/>
        <v>0</v>
      </c>
      <c r="Y34" s="193">
        <f t="shared" si="10"/>
        <v>0</v>
      </c>
      <c r="Z34" s="194">
        <f t="shared" si="11"/>
        <v>0</v>
      </c>
    </row>
    <row r="35" spans="1:26" x14ac:dyDescent="0.25">
      <c r="B35" s="2" t="s">
        <v>89</v>
      </c>
      <c r="C35" s="192">
        <f>-'Balance Sheet'!F47</f>
        <v>-71785000</v>
      </c>
      <c r="D35" s="202">
        <f t="shared" ref="D35:D40" si="16">C35</f>
        <v>-71785000</v>
      </c>
      <c r="E35" s="193">
        <f t="shared" si="0"/>
        <v>0</v>
      </c>
      <c r="F35" s="194">
        <f t="shared" si="2"/>
        <v>0</v>
      </c>
      <c r="H35" s="192">
        <f>-'Balance Sheet'!G47</f>
        <v>-72021000</v>
      </c>
      <c r="I35" s="193">
        <f t="shared" ref="I35:I40" si="17">H35</f>
        <v>-72021000</v>
      </c>
      <c r="J35" s="193">
        <f t="shared" si="4"/>
        <v>0</v>
      </c>
      <c r="K35" s="194">
        <f t="shared" si="5"/>
        <v>0</v>
      </c>
      <c r="M35" s="192">
        <f>-'Balance Sheet'!H47</f>
        <v>-72258000</v>
      </c>
      <c r="N35" s="193">
        <f t="shared" si="14"/>
        <v>-72258000</v>
      </c>
      <c r="O35" s="193">
        <f t="shared" si="6"/>
        <v>0</v>
      </c>
      <c r="P35" s="194">
        <f t="shared" si="7"/>
        <v>0</v>
      </c>
      <c r="R35" s="192">
        <f>-'Balance Sheet'!I47</f>
        <v>-72496000</v>
      </c>
      <c r="S35" s="193">
        <f t="shared" si="12"/>
        <v>-72496000</v>
      </c>
      <c r="T35" s="193">
        <f t="shared" si="8"/>
        <v>0</v>
      </c>
      <c r="U35" s="194">
        <f t="shared" si="9"/>
        <v>0</v>
      </c>
      <c r="W35" s="192">
        <f>-'Balance Sheet'!J47</f>
        <v>-72735000</v>
      </c>
      <c r="X35" s="193">
        <f t="shared" si="15"/>
        <v>-72735000</v>
      </c>
      <c r="Y35" s="193">
        <f t="shared" si="10"/>
        <v>0</v>
      </c>
      <c r="Z35" s="194">
        <f t="shared" si="11"/>
        <v>0</v>
      </c>
    </row>
    <row r="36" spans="1:26" x14ac:dyDescent="0.25">
      <c r="B36" s="2" t="s">
        <v>82</v>
      </c>
      <c r="C36" s="192">
        <f ca="1">-'Balance Sheet'!F48</f>
        <v>-56411000</v>
      </c>
      <c r="D36" s="202">
        <f t="shared" ca="1" si="16"/>
        <v>-56411000</v>
      </c>
      <c r="E36" s="193">
        <f t="shared" ca="1" si="0"/>
        <v>0</v>
      </c>
      <c r="F36" s="194">
        <f t="shared" ca="1" si="2"/>
        <v>0</v>
      </c>
      <c r="H36" s="192">
        <f ca="1">-'Balance Sheet'!G48</f>
        <v>-48886000</v>
      </c>
      <c r="I36" s="193">
        <f t="shared" ca="1" si="17"/>
        <v>-48886000</v>
      </c>
      <c r="J36" s="193">
        <f t="shared" ca="1" si="4"/>
        <v>0</v>
      </c>
      <c r="K36" s="194">
        <f t="shared" ca="1" si="5"/>
        <v>0</v>
      </c>
      <c r="M36" s="192">
        <f ca="1">-'Balance Sheet'!H48</f>
        <v>-40358000</v>
      </c>
      <c r="N36" s="193">
        <f t="shared" ca="1" si="14"/>
        <v>-40358000</v>
      </c>
      <c r="O36" s="193">
        <f t="shared" ca="1" si="6"/>
        <v>0</v>
      </c>
      <c r="P36" s="194">
        <f t="shared" ca="1" si="7"/>
        <v>0</v>
      </c>
      <c r="R36" s="192">
        <f ca="1">-'Balance Sheet'!I48</f>
        <v>-30662000</v>
      </c>
      <c r="S36" s="193">
        <f t="shared" ca="1" si="12"/>
        <v>-30662000</v>
      </c>
      <c r="T36" s="193">
        <f t="shared" ca="1" si="8"/>
        <v>0</v>
      </c>
      <c r="U36" s="194">
        <f t="shared" ca="1" si="9"/>
        <v>0</v>
      </c>
      <c r="W36" s="192">
        <f ca="1">-'Balance Sheet'!J48</f>
        <v>-19608000</v>
      </c>
      <c r="X36" s="193">
        <f t="shared" ca="1" si="15"/>
        <v>-19608000</v>
      </c>
      <c r="Y36" s="193">
        <f t="shared" ca="1" si="10"/>
        <v>0</v>
      </c>
      <c r="Z36" s="194">
        <f t="shared" ca="1" si="11"/>
        <v>0</v>
      </c>
    </row>
    <row r="37" spans="1:26" x14ac:dyDescent="0.25">
      <c r="B37" s="2" t="s">
        <v>90</v>
      </c>
      <c r="C37" s="192">
        <f ca="1">-'Balance Sheet'!F49</f>
        <v>-5171000</v>
      </c>
      <c r="D37" s="202">
        <f t="shared" ca="1" si="16"/>
        <v>-5171000</v>
      </c>
      <c r="E37" s="193">
        <f t="shared" ca="1" si="0"/>
        <v>0</v>
      </c>
      <c r="F37" s="194">
        <f t="shared" ca="1" si="2"/>
        <v>0</v>
      </c>
      <c r="H37" s="192">
        <f ca="1">-'Balance Sheet'!G49</f>
        <v>-5486000</v>
      </c>
      <c r="I37" s="193">
        <f t="shared" ca="1" si="17"/>
        <v>-5486000</v>
      </c>
      <c r="J37" s="193">
        <f t="shared" ca="1" si="4"/>
        <v>0</v>
      </c>
      <c r="K37" s="194">
        <f t="shared" ca="1" si="5"/>
        <v>0</v>
      </c>
      <c r="M37" s="192">
        <f ca="1">-'Balance Sheet'!H49</f>
        <v>-5455000</v>
      </c>
      <c r="N37" s="193">
        <f t="shared" ca="1" si="14"/>
        <v>-5455000</v>
      </c>
      <c r="O37" s="193">
        <f t="shared" ca="1" si="6"/>
        <v>0</v>
      </c>
      <c r="P37" s="194">
        <f t="shared" ca="1" si="7"/>
        <v>0</v>
      </c>
      <c r="R37" s="192">
        <f ca="1">-'Balance Sheet'!I49</f>
        <v>-5328000</v>
      </c>
      <c r="S37" s="193">
        <f t="shared" ca="1" si="12"/>
        <v>-5328000</v>
      </c>
      <c r="T37" s="193">
        <f t="shared" ca="1" si="8"/>
        <v>0</v>
      </c>
      <c r="U37" s="194">
        <f t="shared" ca="1" si="9"/>
        <v>0</v>
      </c>
      <c r="W37" s="192">
        <f ca="1">-'Balance Sheet'!J49</f>
        <v>-5098000</v>
      </c>
      <c r="X37" s="193">
        <f t="shared" ca="1" si="15"/>
        <v>-5098000</v>
      </c>
      <c r="Y37" s="193">
        <f t="shared" ca="1" si="10"/>
        <v>0</v>
      </c>
      <c r="Z37" s="194">
        <f t="shared" ca="1" si="11"/>
        <v>0</v>
      </c>
    </row>
    <row r="38" spans="1:26" x14ac:dyDescent="0.25">
      <c r="B38" s="2" t="s">
        <v>91</v>
      </c>
      <c r="C38" s="192">
        <f>-'Balance Sheet'!F50</f>
        <v>-2818000</v>
      </c>
      <c r="D38" s="202">
        <f t="shared" si="16"/>
        <v>-2818000</v>
      </c>
      <c r="E38" s="193">
        <f t="shared" si="0"/>
        <v>0</v>
      </c>
      <c r="F38" s="194">
        <f t="shared" si="2"/>
        <v>0</v>
      </c>
      <c r="H38" s="192">
        <f>-'Balance Sheet'!G50</f>
        <v>-2818000</v>
      </c>
      <c r="I38" s="193">
        <f t="shared" si="17"/>
        <v>-2818000</v>
      </c>
      <c r="J38" s="193">
        <f t="shared" si="4"/>
        <v>0</v>
      </c>
      <c r="K38" s="194">
        <f t="shared" si="5"/>
        <v>0</v>
      </c>
      <c r="M38" s="192">
        <f>-'Balance Sheet'!H50</f>
        <v>-2818000</v>
      </c>
      <c r="N38" s="193">
        <f t="shared" si="14"/>
        <v>-2818000</v>
      </c>
      <c r="O38" s="193">
        <f t="shared" si="6"/>
        <v>0</v>
      </c>
      <c r="P38" s="194">
        <f t="shared" si="7"/>
        <v>0</v>
      </c>
      <c r="R38" s="192">
        <f>-'Balance Sheet'!I50</f>
        <v>-2818000</v>
      </c>
      <c r="S38" s="193">
        <f t="shared" si="12"/>
        <v>-2818000</v>
      </c>
      <c r="T38" s="193">
        <f t="shared" si="8"/>
        <v>0</v>
      </c>
      <c r="U38" s="194">
        <f t="shared" si="9"/>
        <v>0</v>
      </c>
      <c r="W38" s="192">
        <f>-'Balance Sheet'!J50</f>
        <v>-2818000</v>
      </c>
      <c r="X38" s="193">
        <f t="shared" si="15"/>
        <v>-2818000</v>
      </c>
      <c r="Y38" s="193">
        <f t="shared" si="10"/>
        <v>0</v>
      </c>
      <c r="Z38" s="194">
        <f t="shared" si="11"/>
        <v>0</v>
      </c>
    </row>
    <row r="39" spans="1:26" x14ac:dyDescent="0.25">
      <c r="B39" s="2" t="s">
        <v>92</v>
      </c>
      <c r="C39" s="192">
        <f>-'Balance Sheet'!F51</f>
        <v>-2567000</v>
      </c>
      <c r="D39" s="202">
        <f t="shared" si="16"/>
        <v>-2567000</v>
      </c>
      <c r="E39" s="193">
        <f t="shared" si="0"/>
        <v>0</v>
      </c>
      <c r="F39" s="194">
        <f t="shared" si="2"/>
        <v>0</v>
      </c>
      <c r="H39" s="192">
        <f>-'Balance Sheet'!G51</f>
        <v>-2567000</v>
      </c>
      <c r="I39" s="193">
        <f t="shared" si="17"/>
        <v>-2567000</v>
      </c>
      <c r="J39" s="193">
        <f t="shared" si="4"/>
        <v>0</v>
      </c>
      <c r="K39" s="194">
        <f t="shared" si="5"/>
        <v>0</v>
      </c>
      <c r="M39" s="192">
        <f>-'Balance Sheet'!H51</f>
        <v>-2567000</v>
      </c>
      <c r="N39" s="193">
        <f t="shared" si="14"/>
        <v>-2567000</v>
      </c>
      <c r="O39" s="193">
        <f t="shared" si="6"/>
        <v>0</v>
      </c>
      <c r="P39" s="194">
        <f t="shared" si="7"/>
        <v>0</v>
      </c>
      <c r="R39" s="192">
        <f>-'Balance Sheet'!I51</f>
        <v>-2567000</v>
      </c>
      <c r="S39" s="193">
        <f t="shared" si="12"/>
        <v>-2567000</v>
      </c>
      <c r="T39" s="193">
        <f t="shared" si="8"/>
        <v>0</v>
      </c>
      <c r="U39" s="194">
        <f t="shared" si="9"/>
        <v>0</v>
      </c>
      <c r="W39" s="192">
        <f>-'Balance Sheet'!J51</f>
        <v>-2567000</v>
      </c>
      <c r="X39" s="193">
        <f t="shared" si="15"/>
        <v>-2567000</v>
      </c>
      <c r="Y39" s="193">
        <f t="shared" si="10"/>
        <v>0</v>
      </c>
      <c r="Z39" s="194">
        <f t="shared" si="11"/>
        <v>0</v>
      </c>
    </row>
    <row r="40" spans="1:26" x14ac:dyDescent="0.25">
      <c r="B40" s="2" t="s">
        <v>93</v>
      </c>
      <c r="C40" s="192">
        <f>-'Balance Sheet'!F52</f>
        <v>-15395000</v>
      </c>
      <c r="D40" s="202">
        <f t="shared" si="16"/>
        <v>-15395000</v>
      </c>
      <c r="E40" s="193">
        <f t="shared" si="0"/>
        <v>0</v>
      </c>
      <c r="F40" s="194">
        <f t="shared" si="2"/>
        <v>0</v>
      </c>
      <c r="H40" s="192">
        <f>-'Balance Sheet'!G52</f>
        <v>-15395000</v>
      </c>
      <c r="I40" s="193">
        <f t="shared" si="17"/>
        <v>-15395000</v>
      </c>
      <c r="J40" s="193">
        <f t="shared" si="4"/>
        <v>0</v>
      </c>
      <c r="K40" s="194">
        <f t="shared" si="5"/>
        <v>0</v>
      </c>
      <c r="M40" s="192">
        <f>-'Balance Sheet'!H52</f>
        <v>-15395000</v>
      </c>
      <c r="N40" s="193">
        <f t="shared" si="14"/>
        <v>-15395000</v>
      </c>
      <c r="O40" s="193">
        <f t="shared" si="6"/>
        <v>0</v>
      </c>
      <c r="P40" s="194">
        <f t="shared" si="7"/>
        <v>0</v>
      </c>
      <c r="R40" s="192">
        <f>-'Balance Sheet'!I52</f>
        <v>-15395000</v>
      </c>
      <c r="S40" s="193">
        <f t="shared" si="12"/>
        <v>-15395000</v>
      </c>
      <c r="T40" s="193">
        <f t="shared" si="8"/>
        <v>0</v>
      </c>
      <c r="U40" s="194">
        <f t="shared" si="9"/>
        <v>0</v>
      </c>
      <c r="W40" s="192">
        <f>-'Balance Sheet'!J52</f>
        <v>-15395000</v>
      </c>
      <c r="X40" s="193">
        <f t="shared" si="15"/>
        <v>-15395000</v>
      </c>
      <c r="Y40" s="193">
        <f t="shared" si="10"/>
        <v>0</v>
      </c>
      <c r="Z40" s="194">
        <f t="shared" si="11"/>
        <v>0</v>
      </c>
    </row>
    <row r="41" spans="1:26" x14ac:dyDescent="0.25">
      <c r="B41" s="61" t="s">
        <v>97</v>
      </c>
      <c r="C41" s="192">
        <f ca="1">'Balance Sheet'!F58</f>
        <v>0</v>
      </c>
      <c r="D41" s="202"/>
      <c r="E41" s="193"/>
      <c r="F41" s="194">
        <f t="shared" si="2"/>
        <v>0</v>
      </c>
      <c r="H41" s="192"/>
      <c r="I41" s="193"/>
      <c r="J41" s="193"/>
      <c r="K41" s="194"/>
      <c r="M41" s="192"/>
      <c r="N41" s="193"/>
      <c r="O41" s="193"/>
      <c r="P41" s="194"/>
      <c r="R41" s="192"/>
      <c r="S41" s="193"/>
      <c r="T41" s="193"/>
      <c r="U41" s="194"/>
      <c r="W41" s="192"/>
      <c r="X41" s="200"/>
      <c r="Y41" s="200"/>
      <c r="Z41" s="201"/>
    </row>
    <row r="42" spans="1:26" x14ac:dyDescent="0.25">
      <c r="C42" s="192"/>
      <c r="D42" s="200"/>
      <c r="E42" s="193"/>
      <c r="F42" s="201"/>
      <c r="H42" s="192"/>
      <c r="I42" s="193"/>
      <c r="J42" s="193"/>
      <c r="K42" s="194"/>
      <c r="M42" s="192"/>
      <c r="N42" s="193"/>
      <c r="O42" s="193"/>
      <c r="P42" s="194"/>
      <c r="R42" s="192"/>
      <c r="S42" s="193"/>
      <c r="T42" s="193"/>
      <c r="U42" s="194"/>
      <c r="W42" s="192"/>
      <c r="X42" s="200"/>
      <c r="Y42" s="200"/>
      <c r="Z42" s="201"/>
    </row>
    <row r="43" spans="1:26" x14ac:dyDescent="0.25">
      <c r="A43" s="185" t="s">
        <v>298</v>
      </c>
      <c r="B43" s="185"/>
      <c r="C43" s="195">
        <f ca="1">SUM(C5:C40)</f>
        <v>0</v>
      </c>
      <c r="D43" s="186">
        <f t="shared" ref="D43:F43" ca="1" si="18">SUM(D5:D40)</f>
        <v>-25235288.666666627</v>
      </c>
      <c r="E43" s="186">
        <f t="shared" ca="1" si="18"/>
        <v>-25235288.666666657</v>
      </c>
      <c r="F43" s="196">
        <f t="shared" ca="1" si="18"/>
        <v>-7570586.5999999959</v>
      </c>
      <c r="H43" s="195">
        <f ca="1">SUM(H5:H40)</f>
        <v>0</v>
      </c>
      <c r="I43" s="186">
        <f ca="1">SUM(I5:I40)</f>
        <v>-24527288.666666627</v>
      </c>
      <c r="J43" s="186">
        <f ca="1">SUM(J5:J40)</f>
        <v>-24527288.666666657</v>
      </c>
      <c r="K43" s="186">
        <f ca="1">SUM(K5:K40)</f>
        <v>-7358186.5999999959</v>
      </c>
      <c r="L43" s="186"/>
      <c r="M43" s="195">
        <f t="shared" ref="M43:Z43" ca="1" si="19">SUM(M5:M40)</f>
        <v>0</v>
      </c>
      <c r="N43" s="195">
        <f t="shared" ca="1" si="19"/>
        <v>-25138663.666666627</v>
      </c>
      <c r="O43" s="195">
        <f t="shared" ca="1" si="19"/>
        <v>-25138663.666666657</v>
      </c>
      <c r="P43" s="195">
        <f t="shared" ca="1" si="19"/>
        <v>-7541599.0999999959</v>
      </c>
      <c r="Q43" s="186"/>
      <c r="R43" s="195">
        <f t="shared" ca="1" si="19"/>
        <v>0</v>
      </c>
      <c r="S43" s="186"/>
      <c r="T43" s="186"/>
      <c r="U43" s="196">
        <f ca="1">SUM(U6:U40)</f>
        <v>7441620.2999999998</v>
      </c>
      <c r="V43" s="186"/>
      <c r="W43" s="195">
        <f t="shared" ca="1" si="19"/>
        <v>0</v>
      </c>
      <c r="X43" s="186">
        <f t="shared" ca="1" si="19"/>
        <v>27641878</v>
      </c>
      <c r="Y43" s="186">
        <f t="shared" ca="1" si="19"/>
        <v>27641878</v>
      </c>
      <c r="Z43" s="196">
        <f t="shared" ca="1" si="19"/>
        <v>8292563.4000000004</v>
      </c>
    </row>
    <row r="44" spans="1:26" x14ac:dyDescent="0.25">
      <c r="C44" s="192"/>
      <c r="D44" s="200"/>
      <c r="E44" s="193"/>
      <c r="F44" s="201"/>
      <c r="H44" s="192"/>
      <c r="I44" s="193"/>
      <c r="J44" s="193"/>
      <c r="K44" s="194"/>
      <c r="M44" s="192"/>
      <c r="N44" s="193"/>
      <c r="O44" s="193"/>
      <c r="P44" s="194"/>
      <c r="R44" s="192"/>
      <c r="S44" s="193"/>
      <c r="T44" s="193"/>
      <c r="U44" s="194"/>
      <c r="W44" s="192"/>
      <c r="X44" s="200"/>
      <c r="Y44" s="200"/>
      <c r="Z44" s="201"/>
    </row>
    <row r="45" spans="1:26" x14ac:dyDescent="0.25">
      <c r="C45" s="192"/>
      <c r="D45" s="200"/>
      <c r="E45" s="193"/>
      <c r="F45" s="201"/>
      <c r="H45" s="192"/>
      <c r="I45" s="193"/>
      <c r="J45" s="193"/>
      <c r="K45" s="194"/>
      <c r="M45" s="192"/>
      <c r="N45" s="193"/>
      <c r="O45" s="193"/>
      <c r="P45" s="194"/>
      <c r="R45" s="192"/>
      <c r="S45" s="193"/>
      <c r="T45" s="193"/>
      <c r="U45" s="194"/>
      <c r="W45" s="192"/>
      <c r="X45" s="200"/>
      <c r="Y45" s="200"/>
      <c r="Z45" s="201"/>
    </row>
    <row r="46" spans="1:26" x14ac:dyDescent="0.25">
      <c r="A46" s="2" t="s">
        <v>301</v>
      </c>
      <c r="C46" s="192"/>
      <c r="D46" s="200"/>
      <c r="E46" s="194">
        <v>3695876</v>
      </c>
      <c r="F46" s="194">
        <f>E46*0.3</f>
        <v>1108762.8</v>
      </c>
      <c r="H46" s="192"/>
      <c r="I46" s="193"/>
      <c r="J46" s="193"/>
      <c r="K46" s="194"/>
      <c r="M46" s="192"/>
      <c r="N46" s="193"/>
      <c r="O46" s="193"/>
      <c r="P46" s="194"/>
      <c r="R46" s="192"/>
      <c r="S46" s="193"/>
      <c r="T46" s="193"/>
      <c r="U46" s="194"/>
      <c r="W46" s="192"/>
      <c r="X46" s="193"/>
      <c r="Y46" s="193">
        <f ca="1">-U61</f>
        <v>9784000</v>
      </c>
      <c r="Z46" s="210">
        <f ca="1">Y46*0.3</f>
        <v>2935200</v>
      </c>
    </row>
    <row r="47" spans="1:26" x14ac:dyDescent="0.25">
      <c r="C47" s="192"/>
      <c r="D47" s="200"/>
      <c r="E47" s="193"/>
      <c r="F47" s="201"/>
      <c r="H47" s="192"/>
      <c r="I47" s="193"/>
      <c r="J47" s="193"/>
      <c r="K47" s="194"/>
      <c r="M47" s="192"/>
      <c r="N47" s="193"/>
      <c r="O47" s="193"/>
      <c r="P47" s="194"/>
      <c r="R47" s="192"/>
      <c r="S47" s="193"/>
      <c r="T47" s="193"/>
      <c r="U47" s="194"/>
      <c r="W47" s="192"/>
      <c r="X47" s="200"/>
      <c r="Y47" s="200"/>
      <c r="Z47" s="201"/>
    </row>
    <row r="48" spans="1:26" x14ac:dyDescent="0.25">
      <c r="A48" s="2" t="s">
        <v>303</v>
      </c>
      <c r="C48" s="192"/>
      <c r="D48" s="200"/>
      <c r="E48" s="193"/>
      <c r="F48" s="194">
        <f ca="1">ROUND(F46+F43, -3)</f>
        <v>-6462000</v>
      </c>
      <c r="H48" s="192"/>
      <c r="I48" s="193"/>
      <c r="J48" s="193"/>
      <c r="K48" s="194">
        <f ca="1">ROUND(K46+K43, -3)</f>
        <v>-7358000</v>
      </c>
      <c r="M48" s="192"/>
      <c r="N48" s="193"/>
      <c r="O48" s="193"/>
      <c r="P48" s="194">
        <f ca="1">ROUND(P46+P43, -3)</f>
        <v>-7542000</v>
      </c>
      <c r="R48" s="192"/>
      <c r="S48" s="193"/>
      <c r="T48" s="193"/>
      <c r="U48" s="194">
        <f ca="1">ROUND(U46+U43,-3)</f>
        <v>7442000</v>
      </c>
      <c r="W48" s="192"/>
      <c r="X48" s="200"/>
      <c r="Y48" s="200"/>
      <c r="Z48" s="194">
        <f ca="1">ROUND(Z46+Z43,-3)</f>
        <v>11228000</v>
      </c>
    </row>
    <row r="49" spans="1:26" x14ac:dyDescent="0.25">
      <c r="C49" s="192"/>
      <c r="D49" s="200"/>
      <c r="E49" s="193"/>
      <c r="F49" s="201"/>
      <c r="H49" s="192"/>
      <c r="I49" s="193"/>
      <c r="J49" s="193"/>
      <c r="K49" s="194"/>
      <c r="M49" s="192"/>
      <c r="N49" s="193"/>
      <c r="O49" s="193"/>
      <c r="P49" s="194"/>
      <c r="R49" s="192"/>
      <c r="S49" s="193"/>
      <c r="T49" s="193"/>
      <c r="U49" s="194"/>
      <c r="W49" s="192"/>
      <c r="X49" s="200"/>
      <c r="Y49" s="200"/>
      <c r="Z49" s="201"/>
    </row>
    <row r="50" spans="1:26" x14ac:dyDescent="0.25">
      <c r="C50" s="192"/>
      <c r="D50" s="200"/>
      <c r="E50" s="193"/>
      <c r="F50" s="201"/>
      <c r="H50" s="192"/>
      <c r="I50" s="193"/>
      <c r="J50" s="193"/>
      <c r="K50" s="194"/>
      <c r="M50" s="192"/>
      <c r="N50" s="193"/>
      <c r="O50" s="193"/>
      <c r="P50" s="194"/>
      <c r="R50" s="192"/>
      <c r="S50" s="193"/>
      <c r="T50" s="193"/>
      <c r="U50" s="194"/>
      <c r="W50" s="192"/>
      <c r="X50" s="200"/>
      <c r="Y50" s="200"/>
      <c r="Z50" s="201"/>
    </row>
    <row r="51" spans="1:26" x14ac:dyDescent="0.25">
      <c r="A51" s="2" t="s">
        <v>302</v>
      </c>
      <c r="C51" s="192"/>
      <c r="D51" s="200"/>
      <c r="E51" s="193"/>
      <c r="F51" s="194">
        <f>-ROUND(6623688,-3)</f>
        <v>-6624000</v>
      </c>
      <c r="H51" s="192"/>
      <c r="I51" s="193"/>
      <c r="J51" s="193"/>
      <c r="K51" s="194">
        <f ca="1">F48</f>
        <v>-6462000</v>
      </c>
      <c r="M51" s="192"/>
      <c r="N51" s="193"/>
      <c r="O51" s="193"/>
      <c r="P51" s="194">
        <f ca="1">K48</f>
        <v>-7358000</v>
      </c>
      <c r="R51" s="192"/>
      <c r="S51" s="193"/>
      <c r="T51" s="193"/>
      <c r="U51" s="194">
        <f ca="1">P48</f>
        <v>-7542000</v>
      </c>
      <c r="W51" s="192"/>
      <c r="X51" s="200"/>
      <c r="Y51" s="200"/>
      <c r="Z51" s="194">
        <f ca="1">U48</f>
        <v>7442000</v>
      </c>
    </row>
    <row r="52" spans="1:26" x14ac:dyDescent="0.25">
      <c r="C52" s="192"/>
      <c r="D52" s="200"/>
      <c r="E52" s="193"/>
      <c r="F52" s="201"/>
      <c r="H52" s="192"/>
      <c r="I52" s="193"/>
      <c r="J52" s="193"/>
      <c r="K52" s="194"/>
      <c r="M52" s="192"/>
      <c r="N52" s="193"/>
      <c r="O52" s="193"/>
      <c r="P52" s="194"/>
      <c r="R52" s="192"/>
      <c r="S52" s="193"/>
      <c r="T52" s="193"/>
      <c r="U52" s="194"/>
      <c r="W52" s="192"/>
      <c r="X52" s="200"/>
      <c r="Y52" s="200"/>
      <c r="Z52" s="201"/>
    </row>
    <row r="53" spans="1:26" x14ac:dyDescent="0.25">
      <c r="C53" s="192"/>
      <c r="D53" s="200"/>
      <c r="E53" s="193"/>
      <c r="F53" s="201"/>
      <c r="H53" s="192"/>
      <c r="I53" s="193"/>
      <c r="J53" s="193"/>
      <c r="K53" s="194"/>
      <c r="M53" s="192"/>
      <c r="N53" s="193"/>
      <c r="O53" s="193"/>
      <c r="P53" s="194"/>
      <c r="R53" s="192"/>
      <c r="S53" s="193"/>
      <c r="T53" s="193"/>
      <c r="U53" s="194"/>
      <c r="W53" s="192"/>
      <c r="X53" s="200"/>
      <c r="Y53" s="200"/>
      <c r="Z53" s="201"/>
    </row>
    <row r="54" spans="1:26" x14ac:dyDescent="0.25">
      <c r="A54" s="2" t="s">
        <v>304</v>
      </c>
      <c r="C54" s="197"/>
      <c r="D54" s="203"/>
      <c r="E54" s="198"/>
      <c r="F54" s="199">
        <f ca="1">F48-F51</f>
        <v>162000</v>
      </c>
      <c r="H54" s="197"/>
      <c r="I54" s="198"/>
      <c r="J54" s="198"/>
      <c r="K54" s="199">
        <f ca="1">K48-K51</f>
        <v>-896000</v>
      </c>
      <c r="M54" s="197"/>
      <c r="N54" s="198"/>
      <c r="O54" s="198"/>
      <c r="P54" s="199">
        <f ca="1">P48-P51</f>
        <v>-184000</v>
      </c>
      <c r="R54" s="197"/>
      <c r="S54" s="198"/>
      <c r="T54" s="198"/>
      <c r="U54" s="199">
        <f ca="1">U48-U51</f>
        <v>14984000</v>
      </c>
      <c r="W54" s="197"/>
      <c r="X54" s="203"/>
      <c r="Y54" s="203"/>
      <c r="Z54" s="194">
        <f ca="1">Z48-Z51</f>
        <v>3786000</v>
      </c>
    </row>
    <row r="57" spans="1:26" x14ac:dyDescent="0.25">
      <c r="B57" s="184" t="s">
        <v>305</v>
      </c>
      <c r="F57" s="205">
        <f>'Income Statement'!F73</f>
        <v>0.3</v>
      </c>
      <c r="K57" s="14">
        <f>'Income Statement'!G73</f>
        <v>0.3</v>
      </c>
      <c r="P57" s="14">
        <f>'Income Statement'!H73</f>
        <v>0.3</v>
      </c>
      <c r="U57" s="14">
        <f>'Income Statement'!I73</f>
        <v>0.3</v>
      </c>
      <c r="Z57" s="205">
        <f>'Income Statement'!J73</f>
        <v>0.3</v>
      </c>
    </row>
    <row r="58" spans="1:26" x14ac:dyDescent="0.25">
      <c r="B58" s="184" t="s">
        <v>306</v>
      </c>
      <c r="F58" s="199">
        <f ca="1">'Income Statement'!F69</f>
        <v>20798000</v>
      </c>
      <c r="K58" s="184">
        <f ca="1">'Income Statement'!G69</f>
        <v>19333000</v>
      </c>
      <c r="P58" s="184">
        <f ca="1">'Income Statement'!H69</f>
        <v>18079000</v>
      </c>
      <c r="U58" s="184">
        <f ca="1">'Income Statement'!I69</f>
        <v>17332000</v>
      </c>
      <c r="Z58" s="184">
        <f ca="1">'Income Statement'!J69</f>
        <v>16228000</v>
      </c>
    </row>
    <row r="59" spans="1:26" x14ac:dyDescent="0.25">
      <c r="B59" s="184" t="s">
        <v>307</v>
      </c>
      <c r="F59" s="199">
        <f ca="1">F58*F57</f>
        <v>6239400</v>
      </c>
      <c r="K59" s="184">
        <f ca="1">K58*K57</f>
        <v>5799900</v>
      </c>
      <c r="P59" s="184">
        <f ca="1">P58*P57</f>
        <v>5423700</v>
      </c>
      <c r="U59" s="184">
        <f ca="1">U58*U57</f>
        <v>5199600</v>
      </c>
      <c r="Z59" s="184">
        <f ca="1">Z58*Z57</f>
        <v>4868400</v>
      </c>
    </row>
    <row r="60" spans="1:26" x14ac:dyDescent="0.25">
      <c r="B60" s="184" t="s">
        <v>308</v>
      </c>
      <c r="F60" s="184">
        <f ca="1">-F54</f>
        <v>-162000</v>
      </c>
      <c r="K60" s="184">
        <f ca="1">-K54</f>
        <v>896000</v>
      </c>
      <c r="P60" s="184">
        <f ca="1">-P54</f>
        <v>184000</v>
      </c>
      <c r="U60" s="184">
        <f ca="1">-U54</f>
        <v>-14984000</v>
      </c>
      <c r="Z60" s="184">
        <f ca="1">-Z54</f>
        <v>-3786000</v>
      </c>
    </row>
    <row r="61" spans="1:26" x14ac:dyDescent="0.25">
      <c r="B61" s="184" t="s">
        <v>309</v>
      </c>
      <c r="F61" s="184">
        <f ca="1">ROUND(F60+F59, -3)</f>
        <v>6077000</v>
      </c>
      <c r="K61" s="184">
        <f ca="1">ROUND(K60+K59,-3)</f>
        <v>6696000</v>
      </c>
      <c r="P61" s="184">
        <f ca="1">ROUND(P59+P60,-3)</f>
        <v>5608000</v>
      </c>
      <c r="U61" s="184">
        <f ca="1">ROUND(U60+U59,-3)</f>
        <v>-9784000</v>
      </c>
      <c r="Z61" s="184">
        <f ca="1">ROUND(Z60+Z59,-3)</f>
        <v>1082000</v>
      </c>
    </row>
    <row r="62" spans="1:26" x14ac:dyDescent="0.25">
      <c r="Z62" s="184"/>
    </row>
    <row r="63" spans="1:26" x14ac:dyDescent="0.25">
      <c r="Z63" s="184"/>
    </row>
    <row r="64" spans="1:26" x14ac:dyDescent="0.25">
      <c r="B64" s="206" t="s">
        <v>310</v>
      </c>
      <c r="Z64" s="184"/>
    </row>
    <row r="65" spans="2:26" x14ac:dyDescent="0.25">
      <c r="B65" s="184" t="s">
        <v>214</v>
      </c>
      <c r="F65" s="2">
        <f>'Balance Sheet'!E49</f>
        <v>4104000</v>
      </c>
      <c r="K65" s="184">
        <f ca="1">F70</f>
        <v>5171000</v>
      </c>
      <c r="P65" s="184">
        <f ca="1">K70</f>
        <v>5486000</v>
      </c>
      <c r="U65" s="184">
        <f ca="1">P70</f>
        <v>5455000</v>
      </c>
      <c r="Z65" s="184">
        <f ca="1">U70</f>
        <v>5328000</v>
      </c>
    </row>
    <row r="66" spans="2:26" x14ac:dyDescent="0.25">
      <c r="B66" s="184" t="s">
        <v>311</v>
      </c>
      <c r="F66" s="206">
        <f ca="1">F59</f>
        <v>6239400</v>
      </c>
      <c r="K66" s="184">
        <f ca="1">K59</f>
        <v>5799900</v>
      </c>
      <c r="P66" s="184">
        <f ca="1">P59</f>
        <v>5423700</v>
      </c>
      <c r="U66" s="184">
        <f ca="1">U59</f>
        <v>5199600</v>
      </c>
      <c r="Z66" s="184">
        <f ca="1">Z59</f>
        <v>4868400</v>
      </c>
    </row>
    <row r="67" spans="2:26" x14ac:dyDescent="0.25">
      <c r="B67" s="184"/>
      <c r="F67" s="184">
        <f ca="1">F66+F65</f>
        <v>10343400</v>
      </c>
      <c r="K67" s="186">
        <f ca="1">SUM(K65:K66)</f>
        <v>10970900</v>
      </c>
      <c r="P67" s="184">
        <f ca="1">SUM(P65:P66)</f>
        <v>10909700</v>
      </c>
      <c r="U67" s="184">
        <f ca="1">U66+U65</f>
        <v>10654600</v>
      </c>
      <c r="Z67" s="184">
        <f ca="1">Z66+Z65</f>
        <v>10196400</v>
      </c>
    </row>
    <row r="68" spans="2:26" x14ac:dyDescent="0.25">
      <c r="B68" s="184" t="s">
        <v>312</v>
      </c>
      <c r="F68" s="184">
        <f ca="1">ROUND(-F67*$B$69, -3)</f>
        <v>-5172000</v>
      </c>
      <c r="K68" s="184">
        <f ca="1">ROUND(-K67*$B$69,-3)</f>
        <v>-5485000</v>
      </c>
      <c r="P68" s="184">
        <f ca="1">ROUND(-P67*$B$69, -3)</f>
        <v>-5455000</v>
      </c>
      <c r="U68" s="184">
        <f ca="1">ROUND(-U67*$B$69,-3)</f>
        <v>-5327000</v>
      </c>
      <c r="Z68" s="184">
        <f ca="1">ROUND(-Z67*$B$69,-3)</f>
        <v>-5098000</v>
      </c>
    </row>
    <row r="69" spans="2:26" x14ac:dyDescent="0.25">
      <c r="B69" s="14">
        <v>0.5</v>
      </c>
      <c r="F69" s="184"/>
      <c r="Z69" s="184"/>
    </row>
    <row r="70" spans="2:26" x14ac:dyDescent="0.25">
      <c r="B70" s="184" t="s">
        <v>220</v>
      </c>
      <c r="F70" s="184">
        <f ca="1">ROUND(F67+F68, -3)</f>
        <v>5171000</v>
      </c>
      <c r="K70" s="186">
        <f ca="1">ROUND(K67+K68,-3)</f>
        <v>5486000</v>
      </c>
      <c r="P70" s="184">
        <f ca="1">ROUND(P67+P68,-3)</f>
        <v>5455000</v>
      </c>
      <c r="U70" s="184">
        <f ca="1">ROUND(U68+U67,-3)</f>
        <v>5328000</v>
      </c>
      <c r="Z70" s="184">
        <f ca="1">ROUND(Z68+Z67,-3)</f>
        <v>5098000</v>
      </c>
    </row>
  </sheetData>
  <mergeCells count="5">
    <mergeCell ref="C3:F3"/>
    <mergeCell ref="H3:K3"/>
    <mergeCell ref="M3:P3"/>
    <mergeCell ref="R3:U3"/>
    <mergeCell ref="W3:Z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A31" sqref="A31:XFD60"/>
    </sheetView>
  </sheetViews>
  <sheetFormatPr defaultRowHeight="15" x14ac:dyDescent="0.25"/>
  <cols>
    <col min="1" max="1" width="4.140625" customWidth="1"/>
    <col min="2" max="2" width="31.7109375" customWidth="1"/>
    <col min="3" max="13" width="15.85546875" customWidth="1"/>
    <col min="14" max="14" width="14.85546875" bestFit="1" customWidth="1"/>
    <col min="15" max="15" width="13.140625" bestFit="1" customWidth="1"/>
    <col min="16" max="16" width="12.140625" customWidth="1"/>
    <col min="17" max="18" width="11" bestFit="1" customWidth="1"/>
    <col min="19" max="19" width="9.42578125" bestFit="1" customWidth="1"/>
    <col min="20" max="20" width="12" bestFit="1" customWidth="1"/>
    <col min="21" max="21" width="13.140625" bestFit="1" customWidth="1"/>
  </cols>
  <sheetData>
    <row r="1" spans="1:12" ht="26.25" x14ac:dyDescent="0.4">
      <c r="A1" s="121" t="str">
        <f>Cover!A2</f>
        <v>Flour Mills of  Nigeria PLC</v>
      </c>
    </row>
    <row r="2" spans="1:12" ht="18.75" x14ac:dyDescent="0.3">
      <c r="A2" s="1" t="s">
        <v>180</v>
      </c>
      <c r="B2" s="1"/>
      <c r="C2" s="1"/>
      <c r="D2" s="1"/>
      <c r="E2" s="1"/>
      <c r="F2" s="15"/>
      <c r="G2" s="11"/>
      <c r="H2" s="11"/>
    </row>
    <row r="3" spans="1:12" ht="15.75" thickBot="1" x14ac:dyDescent="0.3">
      <c r="A3" s="2"/>
      <c r="B3" s="2"/>
      <c r="C3" s="223" t="s">
        <v>198</v>
      </c>
      <c r="D3" s="223"/>
      <c r="E3" s="223"/>
      <c r="F3" s="222" t="s">
        <v>181</v>
      </c>
      <c r="G3" s="222"/>
      <c r="H3" s="222"/>
      <c r="I3" s="222"/>
      <c r="J3" s="222"/>
      <c r="K3" s="69"/>
      <c r="L3" s="69"/>
    </row>
    <row r="4" spans="1:12" ht="16.5" thickTop="1" thickBot="1" x14ac:dyDescent="0.3">
      <c r="A4" s="3" t="s">
        <v>46</v>
      </c>
      <c r="B4" s="3"/>
      <c r="C4" s="16" t="s">
        <v>2</v>
      </c>
      <c r="D4" s="16" t="s">
        <v>3</v>
      </c>
      <c r="E4" s="16" t="s">
        <v>4</v>
      </c>
      <c r="F4" s="16" t="s">
        <v>174</v>
      </c>
      <c r="G4" s="16" t="s">
        <v>175</v>
      </c>
      <c r="H4" s="16" t="s">
        <v>176</v>
      </c>
      <c r="I4" s="16" t="s">
        <v>177</v>
      </c>
      <c r="J4" s="16" t="s">
        <v>178</v>
      </c>
      <c r="K4" s="69"/>
      <c r="L4" s="69"/>
    </row>
    <row r="5" spans="1:12" ht="15.75" thickTop="1" x14ac:dyDescent="0.25">
      <c r="A5" s="65" t="s">
        <v>182</v>
      </c>
      <c r="F5" s="42">
        <f>ROUND('Balance Sheet'!E6, -3)</f>
        <v>221465000</v>
      </c>
      <c r="G5" s="42">
        <f>F28</f>
        <v>219393000</v>
      </c>
      <c r="H5" s="42">
        <f>G28</f>
        <v>215109000</v>
      </c>
      <c r="I5" s="42">
        <f>H28</f>
        <v>208606000</v>
      </c>
      <c r="J5" s="42">
        <f>I28</f>
        <v>200316000</v>
      </c>
      <c r="K5" s="42"/>
      <c r="L5" s="42"/>
    </row>
    <row r="6" spans="1:12" x14ac:dyDescent="0.25">
      <c r="A6" s="65" t="s">
        <v>226</v>
      </c>
      <c r="F6" s="42">
        <f>'Balance Sheet'!E9</f>
        <v>1317000</v>
      </c>
      <c r="G6" s="42"/>
      <c r="H6" s="42"/>
      <c r="I6" s="42"/>
      <c r="J6" s="42"/>
      <c r="K6" s="42"/>
      <c r="L6" s="42"/>
    </row>
    <row r="7" spans="1:12" ht="15.75" thickBot="1" x14ac:dyDescent="0.3">
      <c r="A7" s="65" t="s">
        <v>183</v>
      </c>
      <c r="F7" s="66">
        <f>ROUND(-CashFlow!F44, -3)</f>
        <v>22793000</v>
      </c>
      <c r="G7" s="66">
        <f>ROUND(-CashFlow!G44, -3)</f>
        <v>22868000</v>
      </c>
      <c r="H7" s="66">
        <f>ROUND(-CashFlow!H44, -3)</f>
        <v>22943000</v>
      </c>
      <c r="I7" s="66">
        <f>ROUND(-CashFlow!I44, -3)</f>
        <v>23019000</v>
      </c>
      <c r="J7" s="66">
        <f>ROUND(-CashFlow!J44, -3)</f>
        <v>23094000</v>
      </c>
      <c r="K7" s="171"/>
      <c r="L7" s="171"/>
    </row>
    <row r="8" spans="1:12" s="41" customFormat="1" x14ac:dyDescent="0.25">
      <c r="A8" s="41" t="s">
        <v>211</v>
      </c>
      <c r="F8" s="45">
        <f>SUM(F7,F5)</f>
        <v>244258000</v>
      </c>
      <c r="G8" s="45">
        <f>SUM(G7,G5)</f>
        <v>242261000</v>
      </c>
      <c r="H8" s="45">
        <f>SUM(H7,H5)</f>
        <v>238052000</v>
      </c>
      <c r="I8" s="45">
        <f>SUM(I7,I5)</f>
        <v>231625000</v>
      </c>
      <c r="J8" s="45">
        <f>SUM(J7,J5)</f>
        <v>223410000</v>
      </c>
      <c r="K8" s="45"/>
      <c r="L8" s="45"/>
    </row>
    <row r="10" spans="1:12" x14ac:dyDescent="0.25">
      <c r="A10" s="41" t="s">
        <v>184</v>
      </c>
    </row>
    <row r="11" spans="1:12" x14ac:dyDescent="0.25">
      <c r="B11" t="s">
        <v>185</v>
      </c>
      <c r="F11">
        <v>10</v>
      </c>
    </row>
    <row r="12" spans="1:12" x14ac:dyDescent="0.25">
      <c r="B12" t="s">
        <v>226</v>
      </c>
      <c r="F12">
        <v>3</v>
      </c>
      <c r="I12" s="43"/>
    </row>
    <row r="13" spans="1:12" x14ac:dyDescent="0.25">
      <c r="B13" t="s">
        <v>186</v>
      </c>
      <c r="F13">
        <v>10</v>
      </c>
    </row>
    <row r="16" spans="1:12" x14ac:dyDescent="0.25">
      <c r="A16" s="41" t="s">
        <v>187</v>
      </c>
    </row>
    <row r="17" spans="1:12" x14ac:dyDescent="0.25">
      <c r="A17" s="41"/>
      <c r="B17" t="s">
        <v>193</v>
      </c>
      <c r="F17" s="43">
        <f>$F$5/$F$11</f>
        <v>22146500</v>
      </c>
      <c r="G17" s="44">
        <f>$F$5/$F$11</f>
        <v>22146500</v>
      </c>
      <c r="H17" s="44">
        <f>$F$5/$F$11</f>
        <v>22146500</v>
      </c>
      <c r="I17" s="44">
        <f>$F$5/$F$11</f>
        <v>22146500</v>
      </c>
      <c r="J17" s="44">
        <f>$F$5/$F$11</f>
        <v>22146500</v>
      </c>
      <c r="K17" s="44"/>
      <c r="L17" s="44"/>
    </row>
    <row r="18" spans="1:12" x14ac:dyDescent="0.25">
      <c r="A18" s="41"/>
      <c r="B18" t="s">
        <v>227</v>
      </c>
      <c r="F18" s="43">
        <f>$F$6/$F$12</f>
        <v>439000</v>
      </c>
      <c r="G18" s="43">
        <f>$F$6/$F$12</f>
        <v>439000</v>
      </c>
      <c r="H18" s="43">
        <f>$F$6/$F$12</f>
        <v>439000</v>
      </c>
      <c r="I18" s="44"/>
      <c r="J18" s="44"/>
      <c r="K18" s="44"/>
      <c r="L18" s="44"/>
    </row>
    <row r="19" spans="1:12" x14ac:dyDescent="0.25">
      <c r="B19" t="s">
        <v>188</v>
      </c>
      <c r="F19" s="43">
        <f>$F$7/$F$13</f>
        <v>2279300</v>
      </c>
      <c r="G19" s="44">
        <f>$F$7/$F$13</f>
        <v>2279300</v>
      </c>
      <c r="H19" s="44">
        <f>$F$7/$F$13</f>
        <v>2279300</v>
      </c>
      <c r="I19" s="44">
        <f>$F$7/$F$13</f>
        <v>2279300</v>
      </c>
      <c r="J19" s="44">
        <f>$F$7/$F$13</f>
        <v>2279300</v>
      </c>
      <c r="K19" s="44"/>
      <c r="L19" s="44"/>
    </row>
    <row r="20" spans="1:12" x14ac:dyDescent="0.25">
      <c r="B20" t="s">
        <v>189</v>
      </c>
      <c r="F20" s="43"/>
      <c r="G20" s="44">
        <f>$G$7/$F$13</f>
        <v>2286800</v>
      </c>
      <c r="H20" s="44">
        <f>$G$7/$F$13</f>
        <v>2286800</v>
      </c>
      <c r="I20" s="44">
        <f>$G$7/$F$13</f>
        <v>2286800</v>
      </c>
      <c r="J20" s="44">
        <f>$G$7/$F$13</f>
        <v>2286800</v>
      </c>
      <c r="K20" s="44"/>
      <c r="L20" s="44"/>
    </row>
    <row r="21" spans="1:12" x14ac:dyDescent="0.25">
      <c r="B21" t="s">
        <v>190</v>
      </c>
      <c r="F21" s="43"/>
      <c r="G21" s="44"/>
      <c r="H21" s="44">
        <f>$H$7/$F$13</f>
        <v>2294300</v>
      </c>
      <c r="I21" s="44">
        <f>$H$7/$F$13</f>
        <v>2294300</v>
      </c>
      <c r="J21" s="44">
        <f>$H$7/$F$13</f>
        <v>2294300</v>
      </c>
      <c r="K21" s="44"/>
      <c r="L21" s="44"/>
    </row>
    <row r="22" spans="1:12" x14ac:dyDescent="0.25">
      <c r="B22" t="s">
        <v>191</v>
      </c>
      <c r="F22" s="43"/>
      <c r="G22" s="44"/>
      <c r="H22" s="44"/>
      <c r="I22" s="44">
        <f>$I$7/$F$13</f>
        <v>2301900</v>
      </c>
      <c r="J22" s="44">
        <f>$I$7/$F$13</f>
        <v>2301900</v>
      </c>
      <c r="K22" s="44"/>
      <c r="L22" s="44"/>
    </row>
    <row r="23" spans="1:12" ht="15.75" thickBot="1" x14ac:dyDescent="0.3">
      <c r="B23" t="s">
        <v>192</v>
      </c>
      <c r="F23" s="43"/>
      <c r="G23" s="44"/>
      <c r="H23" s="44"/>
      <c r="I23" s="44"/>
      <c r="J23" s="44">
        <f>$J$7/$F$13</f>
        <v>2309400</v>
      </c>
      <c r="K23" s="44"/>
      <c r="L23" s="44"/>
    </row>
    <row r="24" spans="1:12" s="41" customFormat="1" x14ac:dyDescent="0.25">
      <c r="A24" s="41" t="s">
        <v>194</v>
      </c>
      <c r="F24" s="67">
        <f>ROUND(SUM(F17:F23), -3)</f>
        <v>24865000</v>
      </c>
      <c r="G24" s="67">
        <f>ROUND(SUM(G17:G23), -3)</f>
        <v>27152000</v>
      </c>
      <c r="H24" s="67">
        <f>ROUND(SUM(H17:H23), -3)</f>
        <v>29446000</v>
      </c>
      <c r="I24" s="67">
        <f>ROUND(SUM(I17:I23), -3)</f>
        <v>31309000</v>
      </c>
      <c r="J24" s="67">
        <f>ROUND(SUM(J17:J23), -3)</f>
        <v>33618000</v>
      </c>
      <c r="K24" s="172"/>
      <c r="L24" s="172"/>
    </row>
    <row r="25" spans="1:12" x14ac:dyDescent="0.25">
      <c r="G25" s="46">
        <f>G24/F24-1</f>
        <v>9.197667403981491E-2</v>
      </c>
      <c r="H25" s="46">
        <f>H24/G24-1</f>
        <v>8.4487330583382425E-2</v>
      </c>
      <c r="I25" s="46">
        <f>I24/H24-1</f>
        <v>6.3268355634041873E-2</v>
      </c>
      <c r="J25" s="46">
        <f>J24/I24-1</f>
        <v>7.3748762336708351E-2</v>
      </c>
      <c r="K25" s="46"/>
      <c r="L25" s="46"/>
    </row>
    <row r="27" spans="1:12" ht="15.75" thickBot="1" x14ac:dyDescent="0.3"/>
    <row r="28" spans="1:12" s="41" customFormat="1" ht="15.75" thickBot="1" x14ac:dyDescent="0.3">
      <c r="A28" s="41" t="s">
        <v>210</v>
      </c>
      <c r="F28" s="67">
        <f>F8-F24</f>
        <v>219393000</v>
      </c>
      <c r="G28" s="67">
        <f>G8-G24</f>
        <v>215109000</v>
      </c>
      <c r="H28" s="67">
        <f>H8-H24</f>
        <v>208606000</v>
      </c>
      <c r="I28" s="67">
        <f>I8-I24</f>
        <v>200316000</v>
      </c>
      <c r="J28" s="67">
        <f>J8-J24</f>
        <v>189792000</v>
      </c>
      <c r="K28" s="172"/>
      <c r="L28" s="172"/>
    </row>
    <row r="29" spans="1:12" x14ac:dyDescent="0.25">
      <c r="F29" s="68"/>
      <c r="G29" s="68"/>
      <c r="H29" s="68"/>
      <c r="I29" s="68"/>
      <c r="J29" s="68"/>
      <c r="K29" s="85"/>
      <c r="L29" s="85"/>
    </row>
    <row r="30" spans="1:12" x14ac:dyDescent="0.25">
      <c r="F30" s="69">
        <f>F28/F5-1</f>
        <v>-9.355880161650787E-3</v>
      </c>
      <c r="G30" s="69">
        <f>G28/F28-1</f>
        <v>-1.9526602945399318E-2</v>
      </c>
      <c r="H30" s="69">
        <f t="shared" ref="H30:J30" si="0">H28/G28-1</f>
        <v>-3.0231185120101922E-2</v>
      </c>
      <c r="I30" s="69">
        <f t="shared" si="0"/>
        <v>-3.9739988303308604E-2</v>
      </c>
      <c r="J30" s="69">
        <f t="shared" si="0"/>
        <v>-5.253699155334568E-2</v>
      </c>
      <c r="K30" s="69"/>
      <c r="L30" s="69"/>
    </row>
    <row r="31" spans="1:12" x14ac:dyDescent="0.25">
      <c r="F31" s="69"/>
      <c r="G31" s="69"/>
      <c r="H31" s="69"/>
      <c r="I31" s="69"/>
      <c r="J31" s="69"/>
      <c r="K31" s="69"/>
      <c r="L31" s="69"/>
    </row>
    <row r="32" spans="1:12" x14ac:dyDescent="0.25">
      <c r="A32" s="41" t="s">
        <v>267</v>
      </c>
      <c r="F32" s="69"/>
      <c r="G32" s="69"/>
      <c r="H32" s="69"/>
      <c r="I32" s="69"/>
      <c r="J32" s="69"/>
      <c r="K32" s="69"/>
      <c r="L32" s="69"/>
    </row>
    <row r="33" spans="2:21" x14ac:dyDescent="0.25">
      <c r="F33" s="69"/>
      <c r="G33" s="69"/>
      <c r="H33" s="69"/>
      <c r="I33" s="69"/>
      <c r="J33" s="69"/>
      <c r="K33" s="69"/>
      <c r="L33" s="69"/>
      <c r="N33" s="176" t="s">
        <v>283</v>
      </c>
      <c r="O33" s="176" t="s">
        <v>284</v>
      </c>
      <c r="P33" s="176" t="s">
        <v>285</v>
      </c>
      <c r="Q33" s="176" t="s">
        <v>286</v>
      </c>
      <c r="R33" s="176" t="s">
        <v>287</v>
      </c>
      <c r="S33" s="176" t="s">
        <v>288</v>
      </c>
      <c r="T33" s="176" t="s">
        <v>289</v>
      </c>
    </row>
    <row r="34" spans="2:21" x14ac:dyDescent="0.25">
      <c r="B34" t="s">
        <v>268</v>
      </c>
      <c r="C34" s="164">
        <v>0.5</v>
      </c>
      <c r="F34" s="69"/>
      <c r="G34" s="69"/>
      <c r="H34" s="69"/>
      <c r="I34" s="69"/>
      <c r="J34" s="69"/>
      <c r="K34" s="69"/>
      <c r="L34" s="69"/>
      <c r="M34" s="177" t="s">
        <v>290</v>
      </c>
      <c r="N34" s="180">
        <v>66065598</v>
      </c>
      <c r="O34" s="180">
        <v>135156194</v>
      </c>
      <c r="P34" s="180">
        <v>2410408</v>
      </c>
      <c r="Q34" s="180">
        <v>3775418</v>
      </c>
      <c r="R34" s="180">
        <v>1103937</v>
      </c>
      <c r="S34" s="180">
        <v>493633</v>
      </c>
      <c r="T34" s="180">
        <v>12460137</v>
      </c>
      <c r="U34" s="165">
        <f>SUM(N34:T34)</f>
        <v>221465325</v>
      </c>
    </row>
    <row r="35" spans="2:21" x14ac:dyDescent="0.25">
      <c r="B35" t="s">
        <v>270</v>
      </c>
      <c r="C35" s="164">
        <v>0.25</v>
      </c>
      <c r="F35" s="69"/>
      <c r="G35" s="69"/>
      <c r="H35" s="69"/>
      <c r="I35" s="69"/>
      <c r="J35" s="69"/>
      <c r="K35" s="69"/>
      <c r="L35" s="69"/>
      <c r="M35" s="177" t="s">
        <v>291</v>
      </c>
      <c r="N35" s="181">
        <f>1/9</f>
        <v>0.1111111111111111</v>
      </c>
      <c r="O35" s="181">
        <f>1/3</f>
        <v>0.33333333333333331</v>
      </c>
      <c r="P35" s="181">
        <f>1/4</f>
        <v>0.25</v>
      </c>
      <c r="Q35" s="181">
        <f>1/3</f>
        <v>0.33333333333333331</v>
      </c>
      <c r="R35" s="181">
        <f>1/3</f>
        <v>0.33333333333333331</v>
      </c>
      <c r="S35" s="181">
        <f>1/3</f>
        <v>0.33333333333333331</v>
      </c>
      <c r="T35" s="181">
        <f>1/3</f>
        <v>0.33333333333333331</v>
      </c>
      <c r="U35" s="69"/>
    </row>
    <row r="36" spans="2:21" x14ac:dyDescent="0.25">
      <c r="B36" t="s">
        <v>269</v>
      </c>
      <c r="C36" s="164">
        <f>1/3</f>
        <v>0.33333333333333331</v>
      </c>
      <c r="F36" s="69"/>
      <c r="G36" s="69"/>
      <c r="H36" s="69"/>
      <c r="I36" s="69"/>
      <c r="J36" s="69"/>
      <c r="K36" s="69"/>
      <c r="L36" s="69"/>
      <c r="M36" s="177"/>
    </row>
    <row r="37" spans="2:21" x14ac:dyDescent="0.25">
      <c r="C37" s="164"/>
      <c r="F37" s="69"/>
      <c r="G37" s="69"/>
      <c r="H37" s="69"/>
      <c r="I37" s="69"/>
      <c r="J37" s="69"/>
      <c r="K37" s="69"/>
      <c r="L37" s="69"/>
      <c r="M37" s="177"/>
    </row>
    <row r="38" spans="2:21" x14ac:dyDescent="0.25">
      <c r="C38" s="164"/>
      <c r="F38" s="69"/>
      <c r="G38" s="69"/>
      <c r="H38" s="69"/>
      <c r="I38" s="69"/>
      <c r="J38" s="69"/>
      <c r="K38" s="69"/>
      <c r="L38" s="69"/>
      <c r="M38" s="177"/>
    </row>
    <row r="39" spans="2:21" ht="15.75" thickBot="1" x14ac:dyDescent="0.3">
      <c r="F39" s="69"/>
      <c r="G39" s="69"/>
      <c r="H39" s="69"/>
      <c r="I39" s="69"/>
      <c r="J39" s="69"/>
      <c r="K39" s="69"/>
      <c r="L39" s="69"/>
      <c r="M39" s="177"/>
    </row>
    <row r="40" spans="2:21" ht="16.5" thickTop="1" thickBot="1" x14ac:dyDescent="0.3">
      <c r="F40" s="69"/>
      <c r="G40" s="69"/>
      <c r="H40" s="69"/>
      <c r="I40" s="69"/>
      <c r="J40" s="69"/>
      <c r="K40" s="69"/>
      <c r="L40" s="69"/>
      <c r="M40" s="177"/>
      <c r="N40" s="16" t="s">
        <v>174</v>
      </c>
      <c r="O40" s="16" t="s">
        <v>175</v>
      </c>
      <c r="P40" s="16" t="s">
        <v>176</v>
      </c>
      <c r="Q40" s="16" t="s">
        <v>177</v>
      </c>
      <c r="R40" s="16" t="s">
        <v>178</v>
      </c>
    </row>
    <row r="41" spans="2:21" ht="15.75" thickTop="1" x14ac:dyDescent="0.25">
      <c r="F41" s="69"/>
      <c r="G41" s="69"/>
      <c r="H41" s="69"/>
      <c r="I41" s="69"/>
      <c r="J41" s="69"/>
      <c r="K41" s="69"/>
      <c r="L41" s="69"/>
      <c r="M41" s="177"/>
    </row>
    <row r="42" spans="2:21" x14ac:dyDescent="0.25">
      <c r="B42" t="s">
        <v>193</v>
      </c>
      <c r="F42" s="165">
        <f>N49</f>
        <v>58939663.666666664</v>
      </c>
      <c r="G42" s="165">
        <f>O49</f>
        <v>58939663.666666664</v>
      </c>
      <c r="H42" s="165">
        <f>P49</f>
        <v>58939663.666666664</v>
      </c>
      <c r="I42" s="165">
        <f>Q49</f>
        <v>7943224</v>
      </c>
      <c r="J42" s="165">
        <f>R49</f>
        <v>7340622</v>
      </c>
      <c r="K42" s="165"/>
      <c r="L42" s="165"/>
      <c r="M42" s="177" t="str">
        <f>N33</f>
        <v>Land &amp; Building</v>
      </c>
      <c r="N42" s="175">
        <f>$N$34*$N$35</f>
        <v>7340622</v>
      </c>
      <c r="O42" s="175">
        <f t="shared" ref="O42:R42" si="1">$N$34*$N$35</f>
        <v>7340622</v>
      </c>
      <c r="P42" s="175">
        <f t="shared" si="1"/>
        <v>7340622</v>
      </c>
      <c r="Q42" s="175">
        <f t="shared" si="1"/>
        <v>7340622</v>
      </c>
      <c r="R42" s="175">
        <f t="shared" si="1"/>
        <v>7340622</v>
      </c>
    </row>
    <row r="43" spans="2:21" x14ac:dyDescent="0.25">
      <c r="B43" t="s">
        <v>272</v>
      </c>
      <c r="F43" s="165">
        <f>F7*$C$34</f>
        <v>11396500</v>
      </c>
      <c r="H43" s="165"/>
      <c r="I43" s="165"/>
      <c r="J43" s="165"/>
      <c r="K43" s="165"/>
      <c r="L43" s="165"/>
      <c r="M43" s="177" t="str">
        <f>O33</f>
        <v>Plant &amp; Mach</v>
      </c>
      <c r="N43" s="175">
        <f>$O$34*$O$35</f>
        <v>45052064.666666664</v>
      </c>
      <c r="O43" s="175">
        <f t="shared" ref="O43:P43" si="2">$O$34*$O$35</f>
        <v>45052064.666666664</v>
      </c>
      <c r="P43" s="175">
        <f t="shared" si="2"/>
        <v>45052064.666666664</v>
      </c>
      <c r="Q43" s="175"/>
      <c r="R43" s="175"/>
    </row>
    <row r="44" spans="2:21" x14ac:dyDescent="0.25">
      <c r="B44" t="s">
        <v>271</v>
      </c>
      <c r="F44" s="165">
        <f>($F$7-$F$43)*$C$35</f>
        <v>2849125</v>
      </c>
      <c r="G44" s="165">
        <f>($F$7-$F$43)*$C$35</f>
        <v>2849125</v>
      </c>
      <c r="H44" s="165">
        <f>($F$7-$F$43)*$C$35</f>
        <v>2849125</v>
      </c>
      <c r="I44" s="165">
        <f>($F$7-$F$43)*$C$35</f>
        <v>2849125</v>
      </c>
      <c r="J44" s="165"/>
      <c r="K44" s="165"/>
      <c r="L44" s="165"/>
      <c r="M44" s="177" t="str">
        <f>P33</f>
        <v>F/E</v>
      </c>
      <c r="N44" s="175">
        <f>$P$34*$P$35</f>
        <v>602602</v>
      </c>
      <c r="O44" s="175">
        <f t="shared" ref="O44:Q44" si="3">$P$34*$P$35</f>
        <v>602602</v>
      </c>
      <c r="P44" s="175">
        <f t="shared" si="3"/>
        <v>602602</v>
      </c>
      <c r="Q44" s="175">
        <f t="shared" si="3"/>
        <v>602602</v>
      </c>
      <c r="R44" s="175"/>
    </row>
    <row r="45" spans="2:21" x14ac:dyDescent="0.25">
      <c r="B45" t="s">
        <v>273</v>
      </c>
      <c r="F45" s="165"/>
      <c r="G45" s="165">
        <f>G7*C34</f>
        <v>11434000</v>
      </c>
      <c r="H45" s="165"/>
      <c r="I45" s="165"/>
      <c r="J45" s="165"/>
      <c r="K45" s="165"/>
      <c r="L45" s="165"/>
      <c r="M45" s="177" t="str">
        <f>Q33</f>
        <v>Vehicles</v>
      </c>
      <c r="N45" s="175">
        <f>$Q$34*$Q$35</f>
        <v>1258472.6666666665</v>
      </c>
      <c r="O45" s="175">
        <f t="shared" ref="O45:P45" si="4">$Q$34*$Q$35</f>
        <v>1258472.6666666665</v>
      </c>
      <c r="P45" s="175">
        <f t="shared" si="4"/>
        <v>1258472.6666666665</v>
      </c>
      <c r="Q45" s="175"/>
      <c r="R45" s="175"/>
    </row>
    <row r="46" spans="2:21" x14ac:dyDescent="0.25">
      <c r="B46" t="s">
        <v>274</v>
      </c>
      <c r="F46" s="165"/>
      <c r="G46" s="165">
        <f>($G$7-$G$45)*$C$35</f>
        <v>2858500</v>
      </c>
      <c r="H46" s="165">
        <f>($G$7-$G$45)*$C$35</f>
        <v>2858500</v>
      </c>
      <c r="I46" s="165">
        <f>($G$7-$G$45)*$C$35</f>
        <v>2858500</v>
      </c>
      <c r="J46" s="165">
        <f>($G$7-$G$45)*$C$35</f>
        <v>2858500</v>
      </c>
      <c r="K46" s="165"/>
      <c r="L46" s="165"/>
      <c r="M46" s="177" t="str">
        <f>R33</f>
        <v>Bear Plants</v>
      </c>
      <c r="N46" s="175">
        <f>$R$34*$R$35</f>
        <v>367979</v>
      </c>
      <c r="O46" s="175">
        <f t="shared" ref="O46:P46" si="5">$R$34*$R$35</f>
        <v>367979</v>
      </c>
      <c r="P46" s="175">
        <f t="shared" si="5"/>
        <v>367979</v>
      </c>
      <c r="Q46" s="175"/>
      <c r="R46" s="175"/>
    </row>
    <row r="47" spans="2:21" x14ac:dyDescent="0.25">
      <c r="B47" t="s">
        <v>275</v>
      </c>
      <c r="F47" s="165"/>
      <c r="G47" s="165"/>
      <c r="H47" s="165">
        <f>H7*C34</f>
        <v>11471500</v>
      </c>
      <c r="I47" s="165"/>
      <c r="J47" s="165"/>
      <c r="K47" s="165"/>
      <c r="L47" s="165"/>
      <c r="M47" t="str">
        <f>S33</f>
        <v>Berth</v>
      </c>
      <c r="N47" s="182">
        <f>$S$34*$S$35</f>
        <v>164544.33333333331</v>
      </c>
      <c r="O47" s="182">
        <f t="shared" ref="O47:P47" si="6">$S$34*$S$35</f>
        <v>164544.33333333331</v>
      </c>
      <c r="P47" s="182">
        <f t="shared" si="6"/>
        <v>164544.33333333331</v>
      </c>
    </row>
    <row r="48" spans="2:21" x14ac:dyDescent="0.25">
      <c r="B48" t="s">
        <v>276</v>
      </c>
      <c r="F48" s="165"/>
      <c r="G48" s="165"/>
      <c r="H48" s="165">
        <f>($H$7-$H$47)*$C$35</f>
        <v>2867875</v>
      </c>
      <c r="I48" s="165">
        <f>($H$7-$H$47)*$C$35</f>
        <v>2867875</v>
      </c>
      <c r="J48" s="165">
        <f>($H$7-$H$47)*$C$35</f>
        <v>2867875</v>
      </c>
      <c r="K48" s="165"/>
      <c r="L48" s="165"/>
      <c r="M48" s="177" t="str">
        <f>T33</f>
        <v>CWIP</v>
      </c>
      <c r="N48" s="175">
        <f>$T$34*$T$35</f>
        <v>4153379</v>
      </c>
      <c r="O48" s="175">
        <f t="shared" ref="O48:P48" si="7">$T$34*$T$35</f>
        <v>4153379</v>
      </c>
      <c r="P48" s="175">
        <f t="shared" si="7"/>
        <v>4153379</v>
      </c>
      <c r="Q48" s="175"/>
      <c r="R48" s="175"/>
    </row>
    <row r="49" spans="1:18" x14ac:dyDescent="0.25">
      <c r="B49" t="s">
        <v>277</v>
      </c>
      <c r="F49" s="165"/>
      <c r="G49" s="165"/>
      <c r="H49" s="165"/>
      <c r="I49" s="165">
        <f>I7*C34</f>
        <v>11509500</v>
      </c>
      <c r="J49" s="165"/>
      <c r="K49" s="165"/>
      <c r="L49" s="165"/>
      <c r="M49" s="178" t="s">
        <v>292</v>
      </c>
      <c r="N49" s="179">
        <f>SUM(N42:N48)</f>
        <v>58939663.666666664</v>
      </c>
      <c r="O49" s="179">
        <f>SUM(O42:O48)</f>
        <v>58939663.666666664</v>
      </c>
      <c r="P49" s="179">
        <f>SUM(P42:P48)</f>
        <v>58939663.666666664</v>
      </c>
      <c r="Q49" s="179">
        <f>SUM(Q42:Q48)</f>
        <v>7943224</v>
      </c>
      <c r="R49" s="179">
        <f>SUM(R42:R48)</f>
        <v>7340622</v>
      </c>
    </row>
    <row r="50" spans="1:18" x14ac:dyDescent="0.25">
      <c r="B50" t="s">
        <v>278</v>
      </c>
      <c r="F50" s="165"/>
      <c r="G50" s="165"/>
      <c r="H50" s="165"/>
      <c r="I50" s="165">
        <f>($I$7-$I$49)*$C$35</f>
        <v>2877375</v>
      </c>
      <c r="J50" s="165">
        <f>($I$7-$I$49)*$C$35</f>
        <v>2877375</v>
      </c>
      <c r="K50" s="165"/>
      <c r="L50" s="165"/>
      <c r="M50" s="165"/>
      <c r="N50" s="165"/>
    </row>
    <row r="51" spans="1:18" x14ac:dyDescent="0.25">
      <c r="B51" t="s">
        <v>279</v>
      </c>
      <c r="F51" s="165"/>
      <c r="G51" s="165"/>
      <c r="H51" s="165"/>
      <c r="I51" s="165"/>
      <c r="J51" s="165">
        <f>J7*C34</f>
        <v>11547000</v>
      </c>
      <c r="K51" s="165"/>
      <c r="L51" s="165"/>
    </row>
    <row r="52" spans="1:18" x14ac:dyDescent="0.25">
      <c r="B52" t="s">
        <v>280</v>
      </c>
      <c r="F52" s="69"/>
      <c r="G52" s="69"/>
      <c r="H52" s="69"/>
      <c r="I52" s="69"/>
      <c r="J52" s="165">
        <f>($J$7-$J$51)*$C$35</f>
        <v>2886750</v>
      </c>
      <c r="K52" s="165"/>
      <c r="L52" s="165"/>
      <c r="M52" s="165"/>
      <c r="N52" s="165"/>
      <c r="O52" s="165"/>
    </row>
    <row r="53" spans="1:18" s="41" customFormat="1" x14ac:dyDescent="0.25">
      <c r="A53" s="41" t="s">
        <v>281</v>
      </c>
      <c r="F53" s="166">
        <f>SUM(F42:F52)</f>
        <v>73185288.666666657</v>
      </c>
      <c r="G53" s="166">
        <f>SUM(G42:G52)</f>
        <v>76081288.666666657</v>
      </c>
      <c r="H53" s="166">
        <f>SUM(H42:H52)</f>
        <v>78986663.666666657</v>
      </c>
      <c r="I53" s="166">
        <f>SUM(I42:I52)</f>
        <v>30905599</v>
      </c>
      <c r="J53" s="166">
        <f>SUM(J42:J52)</f>
        <v>30378122</v>
      </c>
      <c r="K53" s="173"/>
      <c r="L53" s="173"/>
    </row>
    <row r="54" spans="1:18" x14ac:dyDescent="0.25">
      <c r="F54" s="69"/>
      <c r="G54" s="69"/>
      <c r="H54" s="69"/>
      <c r="I54" s="69"/>
      <c r="J54" s="69"/>
      <c r="K54" s="69"/>
      <c r="L54" s="69"/>
    </row>
    <row r="55" spans="1:18" s="41" customFormat="1" x14ac:dyDescent="0.25">
      <c r="A55" s="41" t="s">
        <v>282</v>
      </c>
      <c r="F55" s="167">
        <f>F8-F6-F53</f>
        <v>169755711.33333334</v>
      </c>
      <c r="G55" s="167">
        <f t="shared" ref="G55:J55" si="8">G8-G6-G53</f>
        <v>166179711.33333334</v>
      </c>
      <c r="H55" s="167">
        <f t="shared" si="8"/>
        <v>159065336.33333334</v>
      </c>
      <c r="I55" s="167">
        <f t="shared" si="8"/>
        <v>200719401</v>
      </c>
      <c r="J55" s="167">
        <f t="shared" si="8"/>
        <v>193031878</v>
      </c>
      <c r="K55" s="167"/>
      <c r="L55" s="167"/>
    </row>
    <row r="56" spans="1:18" s="41" customFormat="1" x14ac:dyDescent="0.25">
      <c r="A56" s="41" t="s">
        <v>313</v>
      </c>
      <c r="F56" s="169">
        <f>F28-F55</f>
        <v>49637288.666666657</v>
      </c>
      <c r="G56" s="169">
        <f t="shared" ref="G56:J56" si="9">G28-G55</f>
        <v>48929288.666666657</v>
      </c>
      <c r="H56" s="169">
        <f t="shared" si="9"/>
        <v>49540663.666666657</v>
      </c>
      <c r="I56" s="169">
        <f t="shared" si="9"/>
        <v>-403401</v>
      </c>
      <c r="J56" s="169">
        <f t="shared" si="9"/>
        <v>-3239878</v>
      </c>
      <c r="K56" s="169"/>
      <c r="L56" s="169"/>
    </row>
    <row r="57" spans="1:18" s="41" customFormat="1" x14ac:dyDescent="0.25">
      <c r="A57" s="41" t="s">
        <v>314</v>
      </c>
      <c r="F57" s="167"/>
      <c r="G57" s="167"/>
      <c r="H57" s="167"/>
      <c r="I57" s="167"/>
      <c r="J57" s="167"/>
      <c r="K57" s="167"/>
      <c r="L57" s="167"/>
    </row>
    <row r="58" spans="1:18" s="41" customFormat="1" x14ac:dyDescent="0.25">
      <c r="F58" s="168">
        <f>F56*0.3</f>
        <v>14891186.599999996</v>
      </c>
      <c r="G58" s="168">
        <f t="shared" ref="G58:J58" si="10">G56*0.3</f>
        <v>14678786.599999996</v>
      </c>
      <c r="H58" s="168">
        <f t="shared" si="10"/>
        <v>14862199.099999996</v>
      </c>
      <c r="I58" s="168">
        <f t="shared" si="10"/>
        <v>-121020.29999999999</v>
      </c>
      <c r="J58" s="168">
        <f t="shared" si="10"/>
        <v>-971963.39999999991</v>
      </c>
      <c r="K58" s="168"/>
      <c r="L58" s="168"/>
    </row>
    <row r="59" spans="1:18" s="41" customFormat="1" x14ac:dyDescent="0.25">
      <c r="F59" s="167"/>
      <c r="G59" s="167"/>
      <c r="H59" s="167"/>
      <c r="I59" s="167"/>
      <c r="J59" s="167"/>
      <c r="K59" s="167"/>
      <c r="L59" s="167"/>
    </row>
    <row r="60" spans="1:18" s="41" customFormat="1" x14ac:dyDescent="0.25">
      <c r="F60" s="167"/>
      <c r="G60" s="167"/>
      <c r="H60" s="167"/>
      <c r="I60" s="167"/>
      <c r="J60" s="167"/>
      <c r="K60" s="167"/>
      <c r="L60" s="167"/>
    </row>
    <row r="61" spans="1:18" x14ac:dyDescent="0.25">
      <c r="F61" s="162"/>
      <c r="G61" s="162"/>
      <c r="H61" s="162"/>
      <c r="I61" s="162"/>
      <c r="J61" s="162"/>
      <c r="K61" s="162"/>
      <c r="L61" s="162"/>
    </row>
    <row r="62" spans="1:18" x14ac:dyDescent="0.25">
      <c r="F62" s="74"/>
      <c r="G62" s="74"/>
      <c r="H62" s="74"/>
      <c r="I62" s="74"/>
      <c r="J62" s="74"/>
      <c r="K62" s="74"/>
      <c r="L62" s="74"/>
    </row>
    <row r="63" spans="1:18" x14ac:dyDescent="0.25">
      <c r="F63" s="74"/>
      <c r="G63" s="74"/>
      <c r="H63" s="74"/>
      <c r="I63" s="74"/>
      <c r="J63" s="74"/>
      <c r="K63" s="74"/>
      <c r="L63" s="74"/>
    </row>
    <row r="64" spans="1:18" ht="15.75" thickBot="1" x14ac:dyDescent="0.3">
      <c r="A64" s="41" t="s">
        <v>221</v>
      </c>
    </row>
    <row r="65" spans="1:12" x14ac:dyDescent="0.25">
      <c r="A65" s="81"/>
      <c r="B65" s="68" t="s">
        <v>214</v>
      </c>
      <c r="C65" s="82"/>
      <c r="D65" s="82">
        <f t="shared" ref="D65:J65" si="11">C74</f>
        <v>587611</v>
      </c>
      <c r="E65" s="82">
        <f t="shared" si="11"/>
        <v>217363</v>
      </c>
      <c r="F65" s="82">
        <f t="shared" si="11"/>
        <v>130282</v>
      </c>
      <c r="G65" s="82">
        <f t="shared" si="11"/>
        <v>165000</v>
      </c>
      <c r="H65" s="82">
        <f t="shared" si="11"/>
        <v>175000</v>
      </c>
      <c r="I65" s="82">
        <f t="shared" si="11"/>
        <v>177000</v>
      </c>
      <c r="J65" s="83">
        <f t="shared" si="11"/>
        <v>178000</v>
      </c>
      <c r="K65" s="90"/>
      <c r="L65" s="90"/>
    </row>
    <row r="66" spans="1:12" ht="15.75" thickBot="1" x14ac:dyDescent="0.3">
      <c r="A66" s="84"/>
      <c r="B66" s="85" t="s">
        <v>215</v>
      </c>
      <c r="C66" s="78"/>
      <c r="D66" s="78">
        <v>27398</v>
      </c>
      <c r="E66" s="78">
        <v>969873</v>
      </c>
      <c r="F66" s="78">
        <f>ROUND(AVERAGE($E$66,$D$66), -3)</f>
        <v>499000</v>
      </c>
      <c r="G66" s="78">
        <f t="shared" ref="G66:J66" si="12">ROUND(AVERAGE($E$66,$D$66), -3)</f>
        <v>499000</v>
      </c>
      <c r="H66" s="78">
        <f t="shared" si="12"/>
        <v>499000</v>
      </c>
      <c r="I66" s="78">
        <f t="shared" si="12"/>
        <v>499000</v>
      </c>
      <c r="J66" s="78">
        <f t="shared" si="12"/>
        <v>499000</v>
      </c>
      <c r="K66" s="90"/>
      <c r="L66" s="90"/>
    </row>
    <row r="67" spans="1:12" s="41" customFormat="1" x14ac:dyDescent="0.25">
      <c r="A67" s="86" t="s">
        <v>224</v>
      </c>
      <c r="B67" s="87"/>
      <c r="C67" s="88"/>
      <c r="D67" s="88">
        <f>SUM(D65:D66)</f>
        <v>615009</v>
      </c>
      <c r="E67" s="88">
        <f t="shared" ref="E67:J67" si="13">SUM(E65:E66)</f>
        <v>1187236</v>
      </c>
      <c r="F67" s="88">
        <f t="shared" si="13"/>
        <v>629282</v>
      </c>
      <c r="G67" s="88">
        <f t="shared" si="13"/>
        <v>664000</v>
      </c>
      <c r="H67" s="88">
        <f t="shared" si="13"/>
        <v>674000</v>
      </c>
      <c r="I67" s="88">
        <f t="shared" si="13"/>
        <v>676000</v>
      </c>
      <c r="J67" s="89">
        <f t="shared" si="13"/>
        <v>677000</v>
      </c>
      <c r="K67" s="88"/>
      <c r="L67" s="88"/>
    </row>
    <row r="68" spans="1:12" x14ac:dyDescent="0.25">
      <c r="A68" s="84"/>
      <c r="B68" s="85"/>
      <c r="C68" s="90"/>
      <c r="D68" s="90"/>
      <c r="E68" s="90"/>
      <c r="F68" s="90"/>
      <c r="G68" s="90"/>
      <c r="H68" s="90"/>
      <c r="I68" s="90"/>
      <c r="J68" s="91"/>
      <c r="K68" s="90"/>
      <c r="L68" s="90"/>
    </row>
    <row r="69" spans="1:12" x14ac:dyDescent="0.25">
      <c r="A69" s="84"/>
      <c r="B69" s="85" t="s">
        <v>218</v>
      </c>
      <c r="C69" s="90"/>
      <c r="D69" s="90">
        <v>-544670</v>
      </c>
      <c r="E69" s="90">
        <v>-698523</v>
      </c>
      <c r="F69" s="90">
        <f>ROUND(-F67*F70, -3)</f>
        <v>-464000</v>
      </c>
      <c r="G69" s="90">
        <f t="shared" ref="G69:J69" si="14">ROUND(-G67*G70, -3)</f>
        <v>-489000</v>
      </c>
      <c r="H69" s="90">
        <f t="shared" si="14"/>
        <v>-497000</v>
      </c>
      <c r="I69" s="90">
        <f t="shared" si="14"/>
        <v>-498000</v>
      </c>
      <c r="J69" s="90">
        <f t="shared" si="14"/>
        <v>-499000</v>
      </c>
      <c r="K69" s="90"/>
      <c r="L69" s="90"/>
    </row>
    <row r="70" spans="1:12" s="77" customFormat="1" ht="12" x14ac:dyDescent="0.2">
      <c r="A70" s="92"/>
      <c r="B70" s="93" t="s">
        <v>225</v>
      </c>
      <c r="C70" s="94"/>
      <c r="D70" s="94">
        <f>-D69/D67</f>
        <v>0.88562931599374972</v>
      </c>
      <c r="E70" s="94">
        <f t="shared" ref="E70" si="15">-E69/E67</f>
        <v>0.58836069660960411</v>
      </c>
      <c r="F70" s="94">
        <f>AVERAGE($D$70,$E$70)</f>
        <v>0.73699500630167691</v>
      </c>
      <c r="G70" s="94">
        <f t="shared" ref="G70:J70" si="16">AVERAGE($D$70,$E$70)</f>
        <v>0.73699500630167691</v>
      </c>
      <c r="H70" s="94">
        <f t="shared" si="16"/>
        <v>0.73699500630167691</v>
      </c>
      <c r="I70" s="94">
        <f t="shared" si="16"/>
        <v>0.73699500630167691</v>
      </c>
      <c r="J70" s="95">
        <f t="shared" si="16"/>
        <v>0.73699500630167691</v>
      </c>
      <c r="K70" s="94"/>
      <c r="L70" s="94"/>
    </row>
    <row r="71" spans="1:12" x14ac:dyDescent="0.25">
      <c r="A71" s="84"/>
      <c r="B71" s="85" t="s">
        <v>216</v>
      </c>
      <c r="C71" s="90"/>
      <c r="D71" s="90">
        <v>368556</v>
      </c>
      <c r="E71" s="90"/>
      <c r="F71" s="90"/>
      <c r="G71" s="90"/>
      <c r="H71" s="90"/>
      <c r="I71" s="90"/>
      <c r="J71" s="91"/>
      <c r="K71" s="90"/>
      <c r="L71" s="90"/>
    </row>
    <row r="72" spans="1:12" x14ac:dyDescent="0.25">
      <c r="A72" s="84"/>
      <c r="B72" s="85" t="s">
        <v>217</v>
      </c>
      <c r="C72" s="90"/>
      <c r="D72" s="90">
        <v>-196803</v>
      </c>
      <c r="E72" s="90">
        <v>-358431</v>
      </c>
      <c r="F72" s="90"/>
      <c r="G72" s="90"/>
      <c r="H72" s="90"/>
      <c r="I72" s="90"/>
      <c r="J72" s="91"/>
      <c r="K72" s="90"/>
      <c r="L72" s="90"/>
    </row>
    <row r="73" spans="1:12" ht="15.75" thickBot="1" x14ac:dyDescent="0.3">
      <c r="A73" s="84"/>
      <c r="B73" s="85" t="s">
        <v>219</v>
      </c>
      <c r="C73" s="90"/>
      <c r="D73" s="90">
        <v>-24729</v>
      </c>
      <c r="E73" s="90"/>
      <c r="F73" s="90"/>
      <c r="G73" s="90"/>
      <c r="H73" s="90"/>
      <c r="I73" s="90"/>
      <c r="J73" s="91"/>
      <c r="K73" s="90"/>
      <c r="L73" s="90"/>
    </row>
    <row r="74" spans="1:12" x14ac:dyDescent="0.25">
      <c r="A74" s="84"/>
      <c r="B74" s="85" t="s">
        <v>220</v>
      </c>
      <c r="C74" s="67">
        <v>587611</v>
      </c>
      <c r="D74" s="67">
        <f t="shared" ref="D74:E74" si="17">SUM(D67,D69,D71,D72,D73)</f>
        <v>217363</v>
      </c>
      <c r="E74" s="67">
        <f t="shared" si="17"/>
        <v>130282</v>
      </c>
      <c r="F74" s="67">
        <f>ROUND(SUM(F67,F69,F71,F72,F73), -3)</f>
        <v>165000</v>
      </c>
      <c r="G74" s="67">
        <f>ROUND(SUM(G67,G69,G71,G72,G73), -3)</f>
        <v>175000</v>
      </c>
      <c r="H74" s="67">
        <f>ROUND(SUM(H67,H69,H71,H72,H73), -3)</f>
        <v>177000</v>
      </c>
      <c r="I74" s="67">
        <f>ROUND(SUM(I67,I69,I71,I72,I73), -3)</f>
        <v>178000</v>
      </c>
      <c r="J74" s="67">
        <f>ROUND(SUM(J67,J69,J71,J72,J73), -3)</f>
        <v>178000</v>
      </c>
      <c r="K74" s="172"/>
      <c r="L74" s="172"/>
    </row>
    <row r="75" spans="1:12" x14ac:dyDescent="0.25">
      <c r="A75" s="84"/>
      <c r="B75" s="85"/>
      <c r="C75" s="85"/>
      <c r="D75" s="85"/>
      <c r="E75" s="85"/>
      <c r="F75" s="85"/>
      <c r="G75" s="85"/>
      <c r="H75" s="85"/>
      <c r="I75" s="85"/>
      <c r="J75" s="96"/>
      <c r="K75" s="85"/>
      <c r="L75" s="85"/>
    </row>
    <row r="76" spans="1:12" x14ac:dyDescent="0.25">
      <c r="A76" s="84"/>
      <c r="B76" s="85" t="s">
        <v>222</v>
      </c>
      <c r="C76" s="85"/>
      <c r="D76" s="97">
        <v>179653</v>
      </c>
      <c r="E76" s="97">
        <v>18498</v>
      </c>
      <c r="F76" s="90">
        <f>ROUND($E$76/$E$78*F74, -3)</f>
        <v>23000</v>
      </c>
      <c r="G76" s="90">
        <f t="shared" ref="G76:J76" si="18">ROUND($E$76/$E$78*G74, -3)</f>
        <v>25000</v>
      </c>
      <c r="H76" s="90">
        <f t="shared" si="18"/>
        <v>25000</v>
      </c>
      <c r="I76" s="90">
        <f t="shared" si="18"/>
        <v>25000</v>
      </c>
      <c r="J76" s="90">
        <f t="shared" si="18"/>
        <v>25000</v>
      </c>
      <c r="K76" s="90"/>
      <c r="L76" s="90"/>
    </row>
    <row r="77" spans="1:12" ht="15.75" thickBot="1" x14ac:dyDescent="0.3">
      <c r="A77" s="84"/>
      <c r="B77" s="85" t="s">
        <v>223</v>
      </c>
      <c r="C77" s="85"/>
      <c r="D77" s="97">
        <v>37710</v>
      </c>
      <c r="E77" s="97">
        <v>111784</v>
      </c>
      <c r="F77" s="90">
        <f>ROUND($E$77/$E$78*F74, -3)</f>
        <v>142000</v>
      </c>
      <c r="G77" s="90">
        <f t="shared" ref="G77:J77" si="19">ROUND($E$77/$E$78*G74, -3)</f>
        <v>150000</v>
      </c>
      <c r="H77" s="90">
        <f t="shared" si="19"/>
        <v>152000</v>
      </c>
      <c r="I77" s="90">
        <f t="shared" si="19"/>
        <v>153000</v>
      </c>
      <c r="J77" s="90">
        <f t="shared" si="19"/>
        <v>153000</v>
      </c>
      <c r="K77" s="90"/>
      <c r="L77" s="90"/>
    </row>
    <row r="78" spans="1:12" x14ac:dyDescent="0.25">
      <c r="A78" s="84"/>
      <c r="B78" s="85"/>
      <c r="C78" s="75"/>
      <c r="D78" s="76">
        <f>SUM(D76:D77)</f>
        <v>217363</v>
      </c>
      <c r="E78" s="76">
        <f>SUM(E76:E77)</f>
        <v>130282</v>
      </c>
      <c r="F78" s="76">
        <f>SUM(F76:F77)</f>
        <v>165000</v>
      </c>
      <c r="G78" s="76">
        <f t="shared" ref="G78:J78" si="20">SUM(G76:G77)</f>
        <v>175000</v>
      </c>
      <c r="H78" s="76">
        <f t="shared" si="20"/>
        <v>177000</v>
      </c>
      <c r="I78" s="76">
        <f t="shared" si="20"/>
        <v>178000</v>
      </c>
      <c r="J78" s="98">
        <f t="shared" si="20"/>
        <v>178000</v>
      </c>
      <c r="K78" s="174"/>
      <c r="L78" s="174"/>
    </row>
    <row r="79" spans="1:12" ht="15.75" thickBot="1" x14ac:dyDescent="0.3">
      <c r="A79" s="99"/>
      <c r="B79" s="100"/>
      <c r="C79" s="100"/>
      <c r="D79" s="100"/>
      <c r="E79" s="100"/>
      <c r="F79" s="100"/>
      <c r="G79" s="100"/>
      <c r="H79" s="100"/>
      <c r="I79" s="100"/>
      <c r="J79" s="101"/>
      <c r="K79" s="85"/>
      <c r="L79" s="85"/>
    </row>
    <row r="80" spans="1:12" x14ac:dyDescent="0.25">
      <c r="E80" s="74"/>
      <c r="F80" s="74"/>
    </row>
    <row r="83" spans="1:8" x14ac:dyDescent="0.25">
      <c r="A83" s="41"/>
    </row>
    <row r="84" spans="1:8" x14ac:dyDescent="0.25">
      <c r="D84" s="73"/>
      <c r="E84" s="73"/>
    </row>
    <row r="85" spans="1:8" x14ac:dyDescent="0.25">
      <c r="D85" s="73"/>
      <c r="E85" s="73"/>
    </row>
    <row r="86" spans="1:8" x14ac:dyDescent="0.25">
      <c r="D86" s="73"/>
      <c r="E86" s="73"/>
    </row>
    <row r="87" spans="1:8" x14ac:dyDescent="0.25">
      <c r="D87" s="73"/>
      <c r="E87" s="73"/>
      <c r="F87" s="73"/>
    </row>
    <row r="89" spans="1:8" x14ac:dyDescent="0.25">
      <c r="D89" s="73"/>
    </row>
    <row r="92" spans="1:8" x14ac:dyDescent="0.25">
      <c r="D92" s="79"/>
      <c r="E92" s="79"/>
      <c r="F92" s="79"/>
      <c r="G92" s="79"/>
      <c r="H92" s="79"/>
    </row>
    <row r="93" spans="1:8" x14ac:dyDescent="0.25">
      <c r="D93" s="79"/>
      <c r="E93" s="79"/>
      <c r="F93" s="79"/>
    </row>
    <row r="98" spans="4:12" x14ac:dyDescent="0.25">
      <c r="F98" s="102"/>
      <c r="G98" s="102"/>
      <c r="H98" s="102"/>
      <c r="I98" s="102"/>
      <c r="J98" s="102">
        <f t="shared" ref="J98" si="21">SUM(J92:J97)</f>
        <v>0</v>
      </c>
      <c r="K98" s="102"/>
      <c r="L98" s="102"/>
    </row>
    <row r="102" spans="4:12" x14ac:dyDescent="0.25">
      <c r="D102" s="73"/>
    </row>
    <row r="103" spans="4:12" x14ac:dyDescent="0.25">
      <c r="D103" s="73"/>
      <c r="E103" s="73"/>
    </row>
    <row r="106" spans="4:12" x14ac:dyDescent="0.25">
      <c r="D106" s="73"/>
      <c r="E106" s="73"/>
    </row>
  </sheetData>
  <mergeCells count="2">
    <mergeCell ref="F3:J3"/>
    <mergeCell ref="C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6" sqref="F6"/>
    </sheetView>
  </sheetViews>
  <sheetFormatPr defaultRowHeight="15" x14ac:dyDescent="0.25"/>
  <cols>
    <col min="1" max="1" width="3" style="41" customWidth="1"/>
    <col min="2" max="2" width="40" customWidth="1"/>
    <col min="3" max="5" width="17.5703125" style="49" customWidth="1"/>
    <col min="6" max="10" width="17.28515625" customWidth="1"/>
  </cols>
  <sheetData>
    <row r="1" spans="1:10" x14ac:dyDescent="0.25">
      <c r="A1" s="41" t="str">
        <f>Cover!A2</f>
        <v>Flour Mills of  Nigeria PLC</v>
      </c>
    </row>
    <row r="2" spans="1:10" x14ac:dyDescent="0.25">
      <c r="A2" s="1" t="s">
        <v>200</v>
      </c>
      <c r="B2" s="1"/>
      <c r="C2" s="47"/>
      <c r="D2" s="47"/>
      <c r="E2" s="47"/>
    </row>
    <row r="3" spans="1:10" ht="15.75" thickBot="1" x14ac:dyDescent="0.3">
      <c r="A3" s="1"/>
      <c r="B3" s="2"/>
      <c r="C3" s="224" t="s">
        <v>198</v>
      </c>
      <c r="D3" s="224"/>
      <c r="E3" s="224"/>
      <c r="F3" s="225" t="s">
        <v>209</v>
      </c>
      <c r="G3" s="225"/>
      <c r="H3" s="225"/>
      <c r="I3" s="225"/>
      <c r="J3" s="225"/>
    </row>
    <row r="4" spans="1:10" ht="16.5" thickTop="1" thickBot="1" x14ac:dyDescent="0.3">
      <c r="A4" s="3" t="s">
        <v>197</v>
      </c>
      <c r="B4" s="3"/>
      <c r="C4" s="48" t="s">
        <v>2</v>
      </c>
      <c r="D4" s="48" t="s">
        <v>3</v>
      </c>
      <c r="E4" s="48" t="s">
        <v>4</v>
      </c>
      <c r="F4" s="48" t="s">
        <v>174</v>
      </c>
      <c r="G4" s="48" t="s">
        <v>175</v>
      </c>
      <c r="H4" s="48" t="s">
        <v>176</v>
      </c>
      <c r="I4" s="48" t="s">
        <v>177</v>
      </c>
      <c r="J4" s="48" t="s">
        <v>178</v>
      </c>
    </row>
    <row r="5" spans="1:10" ht="15.75" thickTop="1" x14ac:dyDescent="0.25">
      <c r="A5" s="41" t="s">
        <v>199</v>
      </c>
    </row>
    <row r="6" spans="1:10" x14ac:dyDescent="0.25">
      <c r="B6" t="str">
        <f>'Balance Sheet'!B18</f>
        <v>Inventories</v>
      </c>
      <c r="C6" s="49">
        <f>'Balance Sheet'!C18</f>
        <v>117296162</v>
      </c>
      <c r="D6" s="49">
        <f>'Balance Sheet'!D18</f>
        <v>111373409</v>
      </c>
      <c r="E6" s="49">
        <f>ROUND('Balance Sheet'!E18, -3)</f>
        <v>118867000</v>
      </c>
      <c r="F6" s="49">
        <f>ROUND(F7/360*'Income Statement'!F20, -3)</f>
        <v>114577000</v>
      </c>
      <c r="G6" s="49">
        <f>ROUND(G7/360*'Income Statement'!G20, -3)</f>
        <v>114954000</v>
      </c>
      <c r="H6" s="49">
        <f>ROUND(H7/360*'Income Statement'!H20, -3)</f>
        <v>115332000</v>
      </c>
      <c r="I6" s="49">
        <f>ROUND(I7/360*'Income Statement'!I20, -3)</f>
        <v>115712000</v>
      </c>
      <c r="J6" s="49">
        <f>ROUND(J7/360*'Income Statement'!J20, -3)</f>
        <v>116093000</v>
      </c>
    </row>
    <row r="7" spans="1:10" s="54" customFormat="1" x14ac:dyDescent="0.25">
      <c r="A7" s="53"/>
      <c r="B7" s="54" t="s">
        <v>205</v>
      </c>
      <c r="C7" s="55"/>
      <c r="D7" s="55">
        <f>AVERAGE(C6,D6)/'Income Statement'!D20*360</f>
        <v>89.658332184645914</v>
      </c>
      <c r="E7" s="55">
        <f>AVERAGE(D6,E6)/'Income Statement'!E20*360</f>
        <v>91.113758453403861</v>
      </c>
      <c r="F7" s="57">
        <f>AVERAGE($D$7,$E$7)</f>
        <v>90.386045319024888</v>
      </c>
      <c r="G7" s="57">
        <f t="shared" ref="G7:J7" si="0">AVERAGE($D$7,$E$7)</f>
        <v>90.386045319024888</v>
      </c>
      <c r="H7" s="57">
        <f t="shared" si="0"/>
        <v>90.386045319024888</v>
      </c>
      <c r="I7" s="57">
        <f t="shared" si="0"/>
        <v>90.386045319024888</v>
      </c>
      <c r="J7" s="57">
        <f t="shared" si="0"/>
        <v>90.386045319024888</v>
      </c>
    </row>
    <row r="8" spans="1:10" x14ac:dyDescent="0.25">
      <c r="B8" t="str">
        <f>'Balance Sheet'!B20</f>
        <v>Trade and other receivables</v>
      </c>
      <c r="C8" s="49">
        <f>'Balance Sheet'!C20</f>
        <v>21403132</v>
      </c>
      <c r="D8" s="49">
        <f>'Balance Sheet'!D20</f>
        <v>19083085</v>
      </c>
      <c r="E8" s="49">
        <f>ROUND('Balance Sheet'!E20, -3)</f>
        <v>26085000</v>
      </c>
      <c r="F8" s="49">
        <f>ROUND(F9/360*'Income Statement'!F10, -3)</f>
        <v>21198000</v>
      </c>
      <c r="G8" s="49">
        <f>ROUND(G9/360*'Income Statement'!G10, -3)</f>
        <v>21268000</v>
      </c>
      <c r="H8" s="49">
        <f>ROUND(H9/360*'Income Statement'!H10, -3)</f>
        <v>21338000</v>
      </c>
      <c r="I8" s="49">
        <f>ROUND(I9/360*'Income Statement'!I10, -3)</f>
        <v>21408000</v>
      </c>
      <c r="J8" s="49">
        <f>ROUND(J9/360*'Income Statement'!J10, -3)</f>
        <v>21479000</v>
      </c>
    </row>
    <row r="9" spans="1:10" s="57" customFormat="1" x14ac:dyDescent="0.25">
      <c r="A9" s="56"/>
      <c r="B9" s="57" t="s">
        <v>206</v>
      </c>
      <c r="C9" s="55"/>
      <c r="D9" s="55">
        <f>AVERAGE(C8,D8)/'Income Statement'!D10*360</f>
        <v>13.429006689148101</v>
      </c>
      <c r="E9" s="55">
        <f>AVERAGE(D8,E8)/'Income Statement'!E10*360</f>
        <v>15.415582521970782</v>
      </c>
      <c r="F9" s="57">
        <f>AVERAGE($E$9,$D$9)</f>
        <v>14.422294605559442</v>
      </c>
      <c r="G9" s="57">
        <f t="shared" ref="G9:J9" si="1">AVERAGE($E$9,$D$9)</f>
        <v>14.422294605559442</v>
      </c>
      <c r="H9" s="57">
        <f t="shared" si="1"/>
        <v>14.422294605559442</v>
      </c>
      <c r="I9" s="57">
        <f t="shared" si="1"/>
        <v>14.422294605559442</v>
      </c>
      <c r="J9" s="57">
        <f t="shared" si="1"/>
        <v>14.422294605559442</v>
      </c>
    </row>
    <row r="10" spans="1:10" x14ac:dyDescent="0.25">
      <c r="B10" t="str">
        <f>'Balance Sheet'!B22</f>
        <v>Prepayments</v>
      </c>
      <c r="C10" s="49">
        <f>'Balance Sheet'!C22</f>
        <v>69851473</v>
      </c>
      <c r="D10" s="49">
        <f>'Balance Sheet'!D22</f>
        <v>21364109</v>
      </c>
      <c r="E10" s="49">
        <f>ROUND('Balance Sheet'!E22, -3)</f>
        <v>17895000</v>
      </c>
      <c r="F10" s="49">
        <f>ROUND(F11/360*'Income Statement'!F52, -3)</f>
        <v>19694000</v>
      </c>
      <c r="G10" s="49">
        <f>ROUND(G11/360*'Income Statement'!G52, -3)</f>
        <v>19759000</v>
      </c>
      <c r="H10" s="49">
        <f>ROUND(H11/360*'Income Statement'!H52, -3)</f>
        <v>19824000</v>
      </c>
      <c r="I10" s="49">
        <f>ROUND(I11/360*'Income Statement'!I52, -3)</f>
        <v>19889000</v>
      </c>
      <c r="J10" s="49">
        <f>ROUND(J11/360*'Income Statement'!J52, -3)</f>
        <v>19955000</v>
      </c>
    </row>
    <row r="11" spans="1:10" s="54" customFormat="1" x14ac:dyDescent="0.25">
      <c r="A11" s="53"/>
      <c r="B11" s="54" t="s">
        <v>196</v>
      </c>
      <c r="C11" s="58"/>
      <c r="D11" s="58">
        <f>AVERAGE(C10,D10)/'Income Statement'!D52*360</f>
        <v>720.08104264448787</v>
      </c>
      <c r="E11" s="58">
        <f>AVERAGE(D10,E10)/'Income Statement'!E52*360</f>
        <v>271.16548895334722</v>
      </c>
      <c r="F11" s="60">
        <f>MIN($D$11,$E$11)</f>
        <v>271.16548895334722</v>
      </c>
      <c r="G11" s="60">
        <f t="shared" ref="G11:J11" si="2">MIN($D$11,$E$11)</f>
        <v>271.16548895334722</v>
      </c>
      <c r="H11" s="60">
        <f t="shared" si="2"/>
        <v>271.16548895334722</v>
      </c>
      <c r="I11" s="60">
        <f t="shared" si="2"/>
        <v>271.16548895334722</v>
      </c>
      <c r="J11" s="60">
        <f t="shared" si="2"/>
        <v>271.16548895334722</v>
      </c>
    </row>
    <row r="12" spans="1:10" x14ac:dyDescent="0.25">
      <c r="B12" t="str">
        <f>'Balance Sheet'!B19</f>
        <v>Biological assets</v>
      </c>
      <c r="C12" s="49">
        <f>'Balance Sheet'!C19</f>
        <v>558480</v>
      </c>
      <c r="D12" s="49">
        <f>'Balance Sheet'!D19</f>
        <v>179653</v>
      </c>
      <c r="E12" s="49">
        <f>ROUND('Balance Sheet'!E19, -3)</f>
        <v>18000</v>
      </c>
      <c r="F12" s="79">
        <f>ROUND('Depreciation Schedule'!F76, -3)</f>
        <v>23000</v>
      </c>
      <c r="G12" s="79">
        <f>ROUND('Depreciation Schedule'!G76, -3)</f>
        <v>25000</v>
      </c>
      <c r="H12" s="79">
        <f>ROUND('Depreciation Schedule'!H76, -3)</f>
        <v>25000</v>
      </c>
      <c r="I12" s="79">
        <f>ROUND('Depreciation Schedule'!I76, -3)</f>
        <v>25000</v>
      </c>
      <c r="J12" s="79">
        <f>ROUND('Depreciation Schedule'!J76, -3)</f>
        <v>25000</v>
      </c>
    </row>
    <row r="13" spans="1:10" ht="15.75" thickBot="1" x14ac:dyDescent="0.3">
      <c r="B13" t="str">
        <f>'Balance Sheet'!B21</f>
        <v>Derivatives assets</v>
      </c>
      <c r="C13" s="49">
        <f>'Balance Sheet'!C21</f>
        <v>755516</v>
      </c>
      <c r="D13" s="49">
        <f>'Balance Sheet'!D21</f>
        <v>0</v>
      </c>
      <c r="E13" s="49">
        <f>ROUND('Balance Sheet'!E21, -3)</f>
        <v>198000</v>
      </c>
    </row>
    <row r="14" spans="1:10" s="41" customFormat="1" x14ac:dyDescent="0.25">
      <c r="A14" s="41" t="s">
        <v>201</v>
      </c>
      <c r="C14" s="51">
        <f t="shared" ref="C14:J14" si="3">SUM(C6,C8,C10,C12,C13)</f>
        <v>209864763</v>
      </c>
      <c r="D14" s="51">
        <f t="shared" si="3"/>
        <v>152000256</v>
      </c>
      <c r="E14" s="51">
        <f t="shared" si="3"/>
        <v>163063000</v>
      </c>
      <c r="F14" s="51">
        <f t="shared" si="3"/>
        <v>155492000</v>
      </c>
      <c r="G14" s="51">
        <f t="shared" si="3"/>
        <v>156006000</v>
      </c>
      <c r="H14" s="51">
        <f t="shared" si="3"/>
        <v>156519000</v>
      </c>
      <c r="I14" s="51">
        <f t="shared" si="3"/>
        <v>157034000</v>
      </c>
      <c r="J14" s="51">
        <f t="shared" si="3"/>
        <v>157552000</v>
      </c>
    </row>
    <row r="16" spans="1:10" x14ac:dyDescent="0.25">
      <c r="A16" s="41" t="s">
        <v>202</v>
      </c>
    </row>
    <row r="17" spans="1:10" x14ac:dyDescent="0.25">
      <c r="B17" t="str">
        <f>'Balance Sheet'!B47</f>
        <v>Trade and other payables</v>
      </c>
      <c r="C17" s="49">
        <f>'Balance Sheet'!C47</f>
        <v>94567170</v>
      </c>
      <c r="D17" s="49">
        <f>'Balance Sheet'!D47</f>
        <v>56993533</v>
      </c>
      <c r="E17" s="49">
        <f>ROUND('Balance Sheet'!E47, -3)</f>
        <v>79040000</v>
      </c>
      <c r="F17" s="49">
        <f>ROUND(F18/360*'Income Statement'!F20, -3)</f>
        <v>71785000</v>
      </c>
      <c r="G17" s="49">
        <f>ROUND(G18/360*'Income Statement'!G20, -3)</f>
        <v>72021000</v>
      </c>
      <c r="H17" s="49">
        <f>ROUND(H18/360*'Income Statement'!H20, -3)</f>
        <v>72258000</v>
      </c>
      <c r="I17" s="49">
        <f>ROUND(I18/360*'Income Statement'!I20, -3)</f>
        <v>72496000</v>
      </c>
      <c r="J17" s="49">
        <f>ROUND(J18/360*'Income Statement'!J20, -3)</f>
        <v>72735000</v>
      </c>
    </row>
    <row r="18" spans="1:10" s="60" customFormat="1" x14ac:dyDescent="0.25">
      <c r="A18" s="59"/>
      <c r="B18" s="60" t="s">
        <v>207</v>
      </c>
      <c r="C18" s="58"/>
      <c r="D18" s="58">
        <f>AVERAGE(C17,D17)/'Income Statement'!D20*360</f>
        <v>59.42495888844109</v>
      </c>
      <c r="E18" s="58">
        <f>AVERAGE(D17,E17)/'Income Statement'!E20*360</f>
        <v>53.832976240609192</v>
      </c>
      <c r="F18" s="60">
        <f>AVERAGE($E$18,$D$18)</f>
        <v>56.628967564525141</v>
      </c>
      <c r="G18" s="60">
        <f t="shared" ref="G18:J18" si="4">AVERAGE($E$18,$D$18)</f>
        <v>56.628967564525141</v>
      </c>
      <c r="H18" s="60">
        <f t="shared" si="4"/>
        <v>56.628967564525141</v>
      </c>
      <c r="I18" s="60">
        <f t="shared" si="4"/>
        <v>56.628967564525141</v>
      </c>
      <c r="J18" s="60">
        <f t="shared" si="4"/>
        <v>56.628967564525141</v>
      </c>
    </row>
    <row r="19" spans="1:10" x14ac:dyDescent="0.25">
      <c r="B19" t="str">
        <f>'Balance Sheet'!B49</f>
        <v>Current tax payable</v>
      </c>
      <c r="C19" s="49">
        <f>'Balance Sheet'!C49</f>
        <v>2136490</v>
      </c>
      <c r="D19" s="49">
        <f>'Balance Sheet'!D49</f>
        <v>3151317</v>
      </c>
      <c r="E19" s="49">
        <f>ROUND('Balance Sheet'!E49, -3)</f>
        <v>4104000</v>
      </c>
      <c r="F19" s="49"/>
      <c r="G19" s="49"/>
      <c r="H19" s="49"/>
      <c r="I19" s="49"/>
      <c r="J19" s="49"/>
    </row>
    <row r="20" spans="1:10" s="60" customFormat="1" x14ac:dyDescent="0.25">
      <c r="A20" s="59"/>
      <c r="B20" s="60" t="s">
        <v>208</v>
      </c>
      <c r="C20" s="58"/>
      <c r="D20" s="58"/>
      <c r="E20" s="58"/>
      <c r="F20" s="60" t="e">
        <f>AVERAGE($E$20,$D$20)</f>
        <v>#DIV/0!</v>
      </c>
      <c r="G20" s="60" t="e">
        <f t="shared" ref="G20:J20" si="5">AVERAGE($E$20,$D$20)</f>
        <v>#DIV/0!</v>
      </c>
      <c r="H20" s="60" t="e">
        <f t="shared" si="5"/>
        <v>#DIV/0!</v>
      </c>
      <c r="I20" s="60" t="e">
        <f t="shared" si="5"/>
        <v>#DIV/0!</v>
      </c>
      <c r="J20" s="60" t="e">
        <f t="shared" si="5"/>
        <v>#DIV/0!</v>
      </c>
    </row>
    <row r="21" spans="1:10" x14ac:dyDescent="0.25">
      <c r="B21" t="str">
        <f>'Balance Sheet'!B50</f>
        <v>Deferred income</v>
      </c>
      <c r="F21" s="49"/>
      <c r="G21" s="49"/>
      <c r="H21" s="49"/>
      <c r="I21" s="49"/>
      <c r="J21" s="49"/>
    </row>
    <row r="22" spans="1:10" x14ac:dyDescent="0.25">
      <c r="B22" t="str">
        <f>'Balance Sheet'!B51</f>
        <v>Divident payable</v>
      </c>
      <c r="F22" s="49"/>
      <c r="G22" s="49"/>
      <c r="H22" s="49"/>
      <c r="I22" s="49"/>
      <c r="J22" s="49"/>
    </row>
    <row r="23" spans="1:10" x14ac:dyDescent="0.25">
      <c r="B23" t="str">
        <f>'Balance Sheet'!B52</f>
        <v>Customer deposits</v>
      </c>
      <c r="F23" s="49"/>
      <c r="G23" s="49"/>
      <c r="H23" s="49"/>
      <c r="I23" s="49"/>
      <c r="J23" s="49"/>
    </row>
    <row r="24" spans="1:10" x14ac:dyDescent="0.25">
      <c r="B24" t="str">
        <f>'Balance Sheet'!B46</f>
        <v>Derivatives</v>
      </c>
      <c r="D24" s="50"/>
      <c r="E24" s="50"/>
      <c r="F24" s="49"/>
      <c r="G24" s="49"/>
      <c r="H24" s="49"/>
      <c r="I24" s="49"/>
      <c r="J24" s="49"/>
    </row>
    <row r="25" spans="1:10" ht="15.75" thickBot="1" x14ac:dyDescent="0.3">
      <c r="B25" t="str">
        <f>'Balance Sheet'!B48</f>
        <v>Borrowings</v>
      </c>
      <c r="F25" s="49"/>
      <c r="G25" s="49"/>
      <c r="H25" s="49"/>
      <c r="I25" s="49"/>
      <c r="J25" s="49"/>
    </row>
    <row r="26" spans="1:10" s="41" customFormat="1" x14ac:dyDescent="0.25">
      <c r="A26" s="41" t="s">
        <v>203</v>
      </c>
      <c r="C26" s="51">
        <f>SUM(C23,C22,C21,C19,C17,C25,C24)</f>
        <v>96703660</v>
      </c>
      <c r="D26" s="51">
        <f>SUM(D23,D22,D21,D19,D17,D25,D24)</f>
        <v>60144850</v>
      </c>
      <c r="E26" s="51">
        <f>SUM(E23,E22,E21,E19,E17,E25,E24)</f>
        <v>83144000</v>
      </c>
      <c r="F26" s="51">
        <f>SUM(F17,F19,F21,F22,F23,F24,F25)</f>
        <v>71785000</v>
      </c>
      <c r="G26" s="51">
        <f t="shared" ref="G26:J26" si="6">SUM(G23,G22,G21,G19,G17,G25,G24)</f>
        <v>72021000</v>
      </c>
      <c r="H26" s="51">
        <f t="shared" si="6"/>
        <v>72258000</v>
      </c>
      <c r="I26" s="51">
        <f t="shared" si="6"/>
        <v>72496000</v>
      </c>
      <c r="J26" s="51">
        <f t="shared" si="6"/>
        <v>72735000</v>
      </c>
    </row>
    <row r="27" spans="1:10" ht="15.75" thickBot="1" x14ac:dyDescent="0.3"/>
    <row r="28" spans="1:10" x14ac:dyDescent="0.25">
      <c r="A28" s="41" t="s">
        <v>204</v>
      </c>
      <c r="C28" s="52">
        <f>C14-C26</f>
        <v>113161103</v>
      </c>
      <c r="D28" s="52">
        <f>D14-D26</f>
        <v>91855406</v>
      </c>
      <c r="E28" s="52">
        <f>E14-E26</f>
        <v>79919000</v>
      </c>
      <c r="F28" s="52">
        <f t="shared" ref="F28:J28" si="7">F14-F26</f>
        <v>83707000</v>
      </c>
      <c r="G28" s="52">
        <f t="shared" si="7"/>
        <v>83985000</v>
      </c>
      <c r="H28" s="52">
        <f t="shared" si="7"/>
        <v>84261000</v>
      </c>
      <c r="I28" s="52">
        <f t="shared" si="7"/>
        <v>84538000</v>
      </c>
      <c r="J28" s="52">
        <f t="shared" si="7"/>
        <v>84817000</v>
      </c>
    </row>
    <row r="30" spans="1:10" x14ac:dyDescent="0.25">
      <c r="F30" s="50"/>
      <c r="G30" s="50"/>
      <c r="H30" s="50"/>
      <c r="I30" s="50"/>
      <c r="J30" s="50"/>
    </row>
    <row r="32" spans="1:10" x14ac:dyDescent="0.25">
      <c r="E32" s="50"/>
      <c r="F32" s="50"/>
      <c r="G32" s="50"/>
      <c r="H32" s="50"/>
      <c r="I32" s="50"/>
      <c r="J32" s="50"/>
    </row>
    <row r="33" spans="6:10" x14ac:dyDescent="0.25">
      <c r="F33" s="50"/>
      <c r="G33" s="50"/>
      <c r="H33" s="50"/>
      <c r="I33" s="50"/>
      <c r="J33" s="50"/>
    </row>
    <row r="34" spans="6:10" x14ac:dyDescent="0.25">
      <c r="F34" s="50"/>
      <c r="G34" s="50"/>
      <c r="H34" s="50"/>
      <c r="I34" s="50"/>
      <c r="J34" s="50"/>
    </row>
    <row r="35" spans="6:10" x14ac:dyDescent="0.25">
      <c r="F35" s="50"/>
      <c r="G35" s="50"/>
    </row>
    <row r="36" spans="6:10" x14ac:dyDescent="0.25">
      <c r="F36" s="50"/>
    </row>
  </sheetData>
  <mergeCells count="2">
    <mergeCell ref="C3:E3"/>
    <mergeCell ref="F3:J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F30" sqref="F30"/>
    </sheetView>
  </sheetViews>
  <sheetFormatPr defaultRowHeight="15" x14ac:dyDescent="0.25"/>
  <cols>
    <col min="1" max="1" width="2.140625" style="41" customWidth="1"/>
    <col min="2" max="2" width="44" customWidth="1"/>
    <col min="3" max="5" width="14.28515625" customWidth="1"/>
    <col min="6" max="10" width="17.140625" customWidth="1"/>
  </cols>
  <sheetData>
    <row r="1" spans="1:10" s="2" customFormat="1" ht="21" x14ac:dyDescent="0.35">
      <c r="A1" s="183" t="str">
        <f>Cover!A2</f>
        <v>Flour Mills of  Nigeria PLC</v>
      </c>
      <c r="C1" s="62">
        <f>C60</f>
        <v>0</v>
      </c>
      <c r="D1" s="62">
        <f t="shared" ref="D1:E1" si="0">D60</f>
        <v>0</v>
      </c>
      <c r="E1" s="62">
        <f t="shared" si="0"/>
        <v>0</v>
      </c>
      <c r="F1" s="80">
        <f>F60</f>
        <v>0</v>
      </c>
      <c r="G1" s="64">
        <f t="shared" ref="G1:J1" si="1">G60</f>
        <v>0</v>
      </c>
      <c r="H1" s="64">
        <f t="shared" si="1"/>
        <v>0</v>
      </c>
      <c r="I1" s="64">
        <f t="shared" si="1"/>
        <v>0</v>
      </c>
      <c r="J1" s="64">
        <f t="shared" si="1"/>
        <v>0</v>
      </c>
    </row>
    <row r="2" spans="1:10" s="2" customFormat="1" ht="18.75" x14ac:dyDescent="0.3">
      <c r="A2" s="1" t="s">
        <v>293</v>
      </c>
      <c r="B2" s="1"/>
      <c r="C2" s="15"/>
      <c r="D2" s="11"/>
      <c r="E2" s="11"/>
    </row>
    <row r="3" spans="1:10" s="2" customFormat="1" x14ac:dyDescent="0.25">
      <c r="A3" s="1"/>
      <c r="C3" s="215" t="s">
        <v>198</v>
      </c>
      <c r="D3" s="215"/>
      <c r="E3" s="215"/>
      <c r="F3" s="215" t="s">
        <v>209</v>
      </c>
      <c r="G3" s="215"/>
      <c r="H3" s="215"/>
      <c r="I3" s="215"/>
      <c r="J3" s="215"/>
    </row>
    <row r="4" spans="1:10" s="2" customFormat="1" ht="15.75" thickBot="1" x14ac:dyDescent="0.3">
      <c r="A4" s="3" t="s">
        <v>46</v>
      </c>
      <c r="B4" s="3"/>
      <c r="C4" s="105" t="s">
        <v>2</v>
      </c>
      <c r="D4" s="111" t="s">
        <v>3</v>
      </c>
      <c r="E4" s="111" t="s">
        <v>4</v>
      </c>
      <c r="F4" s="111" t="s">
        <v>174</v>
      </c>
      <c r="G4" s="111" t="s">
        <v>175</v>
      </c>
      <c r="H4" s="111" t="s">
        <v>176</v>
      </c>
      <c r="I4" s="111" t="s">
        <v>177</v>
      </c>
      <c r="J4" s="111" t="s">
        <v>178</v>
      </c>
    </row>
    <row r="5" spans="1:10" ht="15.75" thickTop="1" x14ac:dyDescent="0.25">
      <c r="A5" s="41" t="s">
        <v>235</v>
      </c>
    </row>
    <row r="6" spans="1:10" x14ac:dyDescent="0.25">
      <c r="B6" t="s">
        <v>236</v>
      </c>
      <c r="C6" s="113"/>
      <c r="D6" s="113"/>
      <c r="E6" s="113"/>
      <c r="F6" s="113">
        <f>CashFlow!F70</f>
        <v>7554000</v>
      </c>
      <c r="G6" s="113">
        <f ca="1">CashFlow!G70</f>
        <v>376900</v>
      </c>
      <c r="H6" s="113">
        <f ca="1">CashFlow!H70</f>
        <v>376900</v>
      </c>
      <c r="I6" s="113">
        <f ca="1">CashFlow!I70</f>
        <v>376900</v>
      </c>
      <c r="J6" s="113">
        <f ca="1">CashFlow!J70</f>
        <v>376900</v>
      </c>
    </row>
    <row r="7" spans="1:10" x14ac:dyDescent="0.25">
      <c r="B7" t="s">
        <v>237</v>
      </c>
      <c r="C7" s="113"/>
      <c r="D7" s="113"/>
      <c r="E7" s="113"/>
      <c r="F7" s="113">
        <f ca="1">CashFlow!F74</f>
        <v>12088000</v>
      </c>
      <c r="G7" s="113">
        <f ca="1">CashFlow!G74</f>
        <v>12148000</v>
      </c>
      <c r="H7" s="113">
        <f ca="1">CashFlow!H74</f>
        <v>13151000</v>
      </c>
      <c r="I7" s="113">
        <f ca="1">CashFlow!I74</f>
        <v>14319000</v>
      </c>
      <c r="J7" s="113">
        <f ca="1">CashFlow!J74</f>
        <v>15677000</v>
      </c>
    </row>
    <row r="8" spans="1:10" ht="15.75" thickBot="1" x14ac:dyDescent="0.3">
      <c r="B8" t="s">
        <v>238</v>
      </c>
      <c r="C8" s="114"/>
      <c r="D8" s="114"/>
      <c r="E8" s="114"/>
      <c r="F8" s="140">
        <v>-5000000</v>
      </c>
      <c r="G8" s="140">
        <v>-5000000</v>
      </c>
      <c r="H8" s="140">
        <v>-5000000</v>
      </c>
      <c r="I8" s="140">
        <v>-5000000</v>
      </c>
      <c r="J8" s="140">
        <v>-5000000</v>
      </c>
    </row>
    <row r="9" spans="1:10" s="41" customFormat="1" x14ac:dyDescent="0.25">
      <c r="B9" s="41" t="s">
        <v>239</v>
      </c>
      <c r="C9" s="116"/>
      <c r="D9" s="116"/>
      <c r="E9" s="116"/>
      <c r="F9" s="116">
        <f ca="1">SUM(F6:F8)</f>
        <v>14642000</v>
      </c>
      <c r="G9" s="116">
        <f ca="1">SUM(G6:G8)</f>
        <v>7524900</v>
      </c>
      <c r="H9" s="116">
        <f t="shared" ref="H9:J9" ca="1" si="2">SUM(H6:H8)</f>
        <v>8527900</v>
      </c>
      <c r="I9" s="116">
        <f t="shared" ca="1" si="2"/>
        <v>9695900</v>
      </c>
      <c r="J9" s="116">
        <f t="shared" ca="1" si="2"/>
        <v>11053900</v>
      </c>
    </row>
    <row r="10" spans="1:10" x14ac:dyDescent="0.25">
      <c r="C10" s="113"/>
      <c r="D10" s="113"/>
      <c r="E10" s="113"/>
      <c r="F10" s="113"/>
      <c r="G10" s="113"/>
      <c r="H10" s="113"/>
      <c r="I10" s="113"/>
      <c r="J10" s="113"/>
    </row>
    <row r="11" spans="1:10" x14ac:dyDescent="0.25">
      <c r="A11" s="41" t="s">
        <v>240</v>
      </c>
      <c r="C11" s="113"/>
      <c r="D11" s="113"/>
      <c r="E11" s="113"/>
      <c r="F11" s="113"/>
      <c r="G11" s="113"/>
      <c r="H11" s="113"/>
      <c r="I11" s="113"/>
      <c r="J11" s="113"/>
    </row>
    <row r="12" spans="1:10" x14ac:dyDescent="0.25">
      <c r="B12" t="s">
        <v>241</v>
      </c>
      <c r="C12" s="113"/>
      <c r="D12" s="113"/>
      <c r="E12" s="113"/>
      <c r="F12" s="113">
        <f>E15</f>
        <v>71053000</v>
      </c>
      <c r="G12" s="113">
        <f ca="1">F15</f>
        <v>56411000</v>
      </c>
      <c r="H12" s="113">
        <f ca="1">G15</f>
        <v>48886100</v>
      </c>
      <c r="I12" s="113">
        <f ca="1">H15</f>
        <v>40358200</v>
      </c>
      <c r="J12" s="113">
        <f ca="1">I15</f>
        <v>30662300</v>
      </c>
    </row>
    <row r="13" spans="1:10" x14ac:dyDescent="0.25">
      <c r="B13" t="s">
        <v>256</v>
      </c>
      <c r="C13" s="113"/>
      <c r="D13" s="113"/>
      <c r="E13" s="113"/>
      <c r="F13" s="113">
        <f ca="1">-MIN(F9,F12)</f>
        <v>-14642000</v>
      </c>
      <c r="G13" s="113">
        <f ca="1">-MIN(G9,G12)</f>
        <v>-7524900</v>
      </c>
      <c r="H13" s="113">
        <f ca="1">-MIN(H9,H12)</f>
        <v>-8527900</v>
      </c>
      <c r="I13" s="113">
        <f ca="1">-MIN(I9,I12)</f>
        <v>-9695900</v>
      </c>
      <c r="J13" s="113">
        <f ca="1">-MIN(J9,J12)</f>
        <v>-11053900</v>
      </c>
    </row>
    <row r="14" spans="1:10" ht="15.75" thickBot="1" x14ac:dyDescent="0.3">
      <c r="B14" t="s">
        <v>242</v>
      </c>
      <c r="C14" s="114"/>
      <c r="D14" s="114"/>
      <c r="E14" s="114"/>
      <c r="F14" s="114"/>
      <c r="G14" s="114"/>
      <c r="H14" s="114"/>
      <c r="I14" s="114"/>
      <c r="J14" s="114"/>
    </row>
    <row r="15" spans="1:10" s="41" customFormat="1" x14ac:dyDescent="0.25">
      <c r="B15" s="41" t="s">
        <v>243</v>
      </c>
      <c r="C15" s="115"/>
      <c r="D15" s="115"/>
      <c r="E15" s="115">
        <f>'Balance Sheet'!E48</f>
        <v>71053000</v>
      </c>
      <c r="F15" s="115">
        <f ca="1">SUM(F12:F14)</f>
        <v>56411000</v>
      </c>
      <c r="G15" s="115">
        <f t="shared" ref="G15:J15" ca="1" si="3">SUM(G12:G14)</f>
        <v>48886100</v>
      </c>
      <c r="H15" s="115">
        <f t="shared" ca="1" si="3"/>
        <v>40358200</v>
      </c>
      <c r="I15" s="115">
        <f t="shared" ca="1" si="3"/>
        <v>30662300</v>
      </c>
      <c r="J15" s="115">
        <f t="shared" ca="1" si="3"/>
        <v>19608400</v>
      </c>
    </row>
    <row r="16" spans="1:10" x14ac:dyDescent="0.25">
      <c r="B16" s="65" t="s">
        <v>247</v>
      </c>
      <c r="C16" s="113"/>
      <c r="D16" s="113"/>
      <c r="E16" s="113"/>
      <c r="F16" s="113">
        <f ca="1">AVERAGE(E15,F15)*F17</f>
        <v>4461240</v>
      </c>
      <c r="G16" s="113">
        <f t="shared" ref="G16:J16" ca="1" si="4">AVERAGE(F15,G15)*G17</f>
        <v>3685398.5000000005</v>
      </c>
      <c r="H16" s="113">
        <f t="shared" ca="1" si="4"/>
        <v>3123550.5000000005</v>
      </c>
      <c r="I16" s="113">
        <f t="shared" ca="1" si="4"/>
        <v>2485717.5000000005</v>
      </c>
      <c r="J16" s="113">
        <f t="shared" ca="1" si="4"/>
        <v>1759474.5000000002</v>
      </c>
    </row>
    <row r="17" spans="1:10" s="139" customFormat="1" x14ac:dyDescent="0.25">
      <c r="A17" s="138"/>
      <c r="B17" s="139" t="s">
        <v>249</v>
      </c>
      <c r="F17" s="139">
        <v>7.0000000000000007E-2</v>
      </c>
      <c r="G17" s="139">
        <v>7.0000000000000007E-2</v>
      </c>
      <c r="H17" s="139">
        <v>7.0000000000000007E-2</v>
      </c>
      <c r="I17" s="139">
        <v>7.0000000000000007E-2</v>
      </c>
      <c r="J17" s="139">
        <v>7.0000000000000007E-2</v>
      </c>
    </row>
    <row r="18" spans="1:10" x14ac:dyDescent="0.25">
      <c r="B18" s="41"/>
      <c r="C18" s="113"/>
      <c r="D18" s="113"/>
      <c r="E18" s="113"/>
      <c r="F18" s="113"/>
      <c r="G18" s="113"/>
      <c r="H18" s="113"/>
      <c r="I18" s="113"/>
      <c r="J18" s="113"/>
    </row>
    <row r="19" spans="1:10" x14ac:dyDescent="0.25">
      <c r="A19" s="41" t="s">
        <v>244</v>
      </c>
      <c r="C19" s="113"/>
      <c r="D19" s="113"/>
      <c r="E19" s="113"/>
      <c r="F19" s="113"/>
      <c r="G19" s="113"/>
      <c r="H19" s="113"/>
      <c r="I19" s="113"/>
      <c r="J19" s="113"/>
    </row>
    <row r="20" spans="1:10" x14ac:dyDescent="0.25">
      <c r="B20" t="s">
        <v>245</v>
      </c>
      <c r="C20" s="113"/>
      <c r="D20" s="113"/>
      <c r="E20" s="113"/>
      <c r="F20" s="113">
        <f>E23</f>
        <v>46231000</v>
      </c>
      <c r="G20" s="113">
        <f>F23</f>
        <v>41607900</v>
      </c>
      <c r="H20" s="113">
        <f>G23</f>
        <v>36984800</v>
      </c>
      <c r="I20" s="113">
        <f>H23</f>
        <v>32361700</v>
      </c>
      <c r="J20" s="113">
        <f>I23</f>
        <v>27738600</v>
      </c>
    </row>
    <row r="21" spans="1:10" x14ac:dyDescent="0.25">
      <c r="B21" t="s">
        <v>256</v>
      </c>
      <c r="C21" s="113"/>
      <c r="D21" s="113"/>
      <c r="E21" s="113"/>
      <c r="F21" s="170">
        <f>-F20/10</f>
        <v>-4623100</v>
      </c>
      <c r="G21" s="170">
        <f>-G20/9</f>
        <v>-4623100</v>
      </c>
      <c r="H21" s="170">
        <f>-H20/8</f>
        <v>-4623100</v>
      </c>
      <c r="I21" s="170">
        <f>-I20/7</f>
        <v>-4623100</v>
      </c>
      <c r="J21" s="170">
        <f>-J20/6</f>
        <v>-4623100</v>
      </c>
    </row>
    <row r="22" spans="1:10" ht="15.75" thickBot="1" x14ac:dyDescent="0.3">
      <c r="B22" t="s">
        <v>242</v>
      </c>
      <c r="C22" s="114"/>
      <c r="D22" s="114"/>
      <c r="E22" s="114"/>
      <c r="F22" s="114"/>
      <c r="G22" s="114"/>
      <c r="H22" s="114"/>
      <c r="I22" s="114"/>
      <c r="J22" s="114"/>
    </row>
    <row r="23" spans="1:10" s="41" customFormat="1" x14ac:dyDescent="0.25">
      <c r="B23" s="41" t="s">
        <v>246</v>
      </c>
      <c r="C23" s="116"/>
      <c r="D23" s="116"/>
      <c r="E23" s="116">
        <f>'Balance Sheet'!E38</f>
        <v>46231000</v>
      </c>
      <c r="F23" s="116">
        <f>SUM(F20:F22)</f>
        <v>41607900</v>
      </c>
      <c r="G23" s="116">
        <f t="shared" ref="G23:J23" si="5">SUM(G20:G22)</f>
        <v>36984800</v>
      </c>
      <c r="H23" s="116">
        <f t="shared" si="5"/>
        <v>32361700</v>
      </c>
      <c r="I23" s="116">
        <f t="shared" si="5"/>
        <v>27738600</v>
      </c>
      <c r="J23" s="116">
        <f t="shared" si="5"/>
        <v>23115500</v>
      </c>
    </row>
    <row r="24" spans="1:10" x14ac:dyDescent="0.25">
      <c r="C24" s="113"/>
      <c r="D24" s="113"/>
      <c r="E24" s="113"/>
      <c r="F24" s="113"/>
      <c r="G24" s="113"/>
      <c r="H24" s="113"/>
      <c r="I24" s="113"/>
      <c r="J24" s="113"/>
    </row>
    <row r="25" spans="1:10" x14ac:dyDescent="0.25">
      <c r="B25" s="65" t="s">
        <v>251</v>
      </c>
      <c r="C25" s="113"/>
      <c r="D25" s="113"/>
      <c r="E25" s="113"/>
      <c r="F25" s="113">
        <f>AVERAGE(E23,F23)*F26</f>
        <v>3074361.5000000005</v>
      </c>
      <c r="G25" s="113">
        <f t="shared" ref="G25:J25" si="6">AVERAGE(F23,G23)*G26</f>
        <v>2750744.5000000005</v>
      </c>
      <c r="H25" s="113">
        <f t="shared" si="6"/>
        <v>2427127.5</v>
      </c>
      <c r="I25" s="113">
        <f t="shared" si="6"/>
        <v>2103510.5</v>
      </c>
      <c r="J25" s="113">
        <f t="shared" si="6"/>
        <v>1779893.5000000002</v>
      </c>
    </row>
    <row r="26" spans="1:10" x14ac:dyDescent="0.25">
      <c r="B26" s="112" t="s">
        <v>250</v>
      </c>
      <c r="C26" s="113"/>
      <c r="D26" s="113"/>
      <c r="E26" s="113"/>
      <c r="F26" s="139">
        <v>7.0000000000000007E-2</v>
      </c>
      <c r="G26" s="139">
        <v>7.0000000000000007E-2</v>
      </c>
      <c r="H26" s="139">
        <v>7.0000000000000007E-2</v>
      </c>
      <c r="I26" s="139">
        <v>7.0000000000000007E-2</v>
      </c>
      <c r="J26" s="139">
        <v>7.0000000000000007E-2</v>
      </c>
    </row>
    <row r="27" spans="1:10" x14ac:dyDescent="0.25">
      <c r="C27" s="113"/>
      <c r="D27" s="113"/>
      <c r="E27" s="113"/>
      <c r="F27" s="113"/>
      <c r="G27" s="113"/>
      <c r="H27" s="113"/>
      <c r="I27" s="113"/>
      <c r="J27" s="113"/>
    </row>
    <row r="28" spans="1:10" x14ac:dyDescent="0.25">
      <c r="B28" t="s">
        <v>265</v>
      </c>
      <c r="C28" s="113"/>
      <c r="D28" s="113"/>
      <c r="E28" s="113"/>
      <c r="F28" s="113">
        <f ca="1">F13+F21</f>
        <v>-19265100</v>
      </c>
      <c r="G28" s="113">
        <f ca="1">G13+G21</f>
        <v>-12148000</v>
      </c>
      <c r="H28" s="113">
        <f ca="1">H13+H21</f>
        <v>-13151000</v>
      </c>
      <c r="I28" s="113">
        <f ca="1">I13+I21</f>
        <v>-14319000</v>
      </c>
      <c r="J28" s="113">
        <f ca="1">J13+J21</f>
        <v>-15677000</v>
      </c>
    </row>
    <row r="29" spans="1:10" x14ac:dyDescent="0.25">
      <c r="B29" t="s">
        <v>252</v>
      </c>
      <c r="C29" s="113"/>
      <c r="D29" s="113"/>
      <c r="E29" s="113"/>
      <c r="F29" s="113">
        <f ca="1">F16+F25</f>
        <v>7535601.5</v>
      </c>
      <c r="G29" s="113">
        <f ca="1">G16+G25</f>
        <v>6436143.0000000009</v>
      </c>
      <c r="H29" s="113">
        <f ca="1">H16+H25</f>
        <v>5550678</v>
      </c>
      <c r="I29" s="113">
        <f ca="1">I16+I25</f>
        <v>4589228</v>
      </c>
      <c r="J29" s="113">
        <f ca="1">J16+J25</f>
        <v>3539368.0000000005</v>
      </c>
    </row>
    <row r="30" spans="1:10" x14ac:dyDescent="0.25">
      <c r="A30" s="41" t="s">
        <v>253</v>
      </c>
      <c r="C30" s="113"/>
      <c r="D30" s="113"/>
      <c r="E30" s="113"/>
      <c r="F30" s="113">
        <f ca="1">F6+F7+F28</f>
        <v>376900</v>
      </c>
      <c r="G30" s="113">
        <f ca="1">G6+G7+G28</f>
        <v>376900</v>
      </c>
      <c r="H30" s="113">
        <f ca="1">H6+H7+H28</f>
        <v>376900</v>
      </c>
      <c r="I30" s="113">
        <f ca="1">I6+I7+I28</f>
        <v>376900</v>
      </c>
      <c r="J30" s="113">
        <f ca="1">J6+J7+J28</f>
        <v>376900</v>
      </c>
    </row>
    <row r="31" spans="1:10" x14ac:dyDescent="0.25">
      <c r="C31" s="113"/>
      <c r="D31" s="113"/>
      <c r="E31" s="113"/>
      <c r="F31" s="113"/>
      <c r="G31" s="113"/>
      <c r="H31" s="113"/>
      <c r="I31" s="113"/>
      <c r="J31" s="113"/>
    </row>
    <row r="32" spans="1:10" x14ac:dyDescent="0.25">
      <c r="B32" t="s">
        <v>254</v>
      </c>
      <c r="C32" s="113"/>
      <c r="D32" s="113"/>
      <c r="E32" s="113"/>
      <c r="F32" s="113">
        <f ca="1">AVERAGE(F6,F30)*F33</f>
        <v>475854</v>
      </c>
      <c r="G32" s="113">
        <f ca="1">AVERAGE(G6,G30)*G33</f>
        <v>45228</v>
      </c>
      <c r="H32" s="113">
        <f ca="1">AVERAGE(H6,H30)*H33</f>
        <v>45228</v>
      </c>
      <c r="I32" s="113">
        <f ca="1">AVERAGE(I6,I30)*I33</f>
        <v>45228</v>
      </c>
      <c r="J32" s="113">
        <f ca="1">AVERAGE(J6,J30)*J33</f>
        <v>45228</v>
      </c>
    </row>
    <row r="33" spans="2:10" x14ac:dyDescent="0.25">
      <c r="B33" t="s">
        <v>248</v>
      </c>
      <c r="C33" s="113"/>
      <c r="D33" s="113"/>
      <c r="E33" s="113"/>
      <c r="F33" s="139">
        <v>0.12</v>
      </c>
      <c r="G33" s="139">
        <v>0.12</v>
      </c>
      <c r="H33" s="139">
        <v>0.12</v>
      </c>
      <c r="I33" s="139">
        <v>0.12</v>
      </c>
      <c r="J33" s="139">
        <v>0.12</v>
      </c>
    </row>
    <row r="34" spans="2:10" x14ac:dyDescent="0.25">
      <c r="C34" s="113"/>
      <c r="D34" s="113"/>
      <c r="E34" s="113"/>
      <c r="F34" s="113"/>
      <c r="G34" s="113"/>
      <c r="H34" s="113"/>
      <c r="I34" s="113"/>
      <c r="J34" s="113"/>
    </row>
    <row r="35" spans="2:10" x14ac:dyDescent="0.25">
      <c r="C35" s="113"/>
      <c r="D35" s="113"/>
      <c r="E35" s="113"/>
      <c r="F35" s="113"/>
      <c r="G35" s="113"/>
      <c r="H35" s="113"/>
      <c r="I35" s="113"/>
      <c r="J35" s="113"/>
    </row>
    <row r="36" spans="2:10" x14ac:dyDescent="0.25">
      <c r="C36" s="113"/>
      <c r="D36" s="113"/>
      <c r="E36" s="113"/>
      <c r="F36" s="113"/>
      <c r="G36" s="113"/>
      <c r="H36" s="113"/>
      <c r="I36" s="113"/>
      <c r="J36" s="113"/>
    </row>
    <row r="37" spans="2:10" x14ac:dyDescent="0.25">
      <c r="C37" s="113"/>
      <c r="D37" s="113"/>
      <c r="E37" s="113"/>
      <c r="F37" s="113"/>
      <c r="G37" s="113"/>
      <c r="H37" s="113"/>
      <c r="I37" s="113"/>
      <c r="J37" s="113"/>
    </row>
    <row r="38" spans="2:10" x14ac:dyDescent="0.25">
      <c r="C38" s="113"/>
      <c r="D38" s="113"/>
      <c r="E38" s="113"/>
      <c r="F38" s="113"/>
      <c r="G38" s="113"/>
      <c r="H38" s="113"/>
      <c r="I38" s="113"/>
      <c r="J38" s="113"/>
    </row>
    <row r="39" spans="2:10" x14ac:dyDescent="0.25">
      <c r="C39" s="113"/>
      <c r="D39" s="113"/>
      <c r="E39" s="113"/>
      <c r="F39" s="113"/>
      <c r="G39" s="113"/>
      <c r="H39" s="113"/>
      <c r="I39" s="113"/>
      <c r="J39" s="113"/>
    </row>
    <row r="40" spans="2:10" x14ac:dyDescent="0.25">
      <c r="C40" s="113"/>
      <c r="D40" s="113"/>
      <c r="E40" s="113"/>
      <c r="F40" s="113"/>
      <c r="G40" s="113"/>
      <c r="H40" s="113"/>
      <c r="I40" s="113"/>
      <c r="J40" s="113"/>
    </row>
    <row r="41" spans="2:10" x14ac:dyDescent="0.25">
      <c r="C41" s="113"/>
      <c r="D41" s="113"/>
      <c r="E41" s="113"/>
      <c r="F41" s="113"/>
      <c r="G41" s="113"/>
      <c r="H41" s="113"/>
      <c r="I41" s="113"/>
      <c r="J41" s="113"/>
    </row>
  </sheetData>
  <mergeCells count="2">
    <mergeCell ref="C3:E3"/>
    <mergeCell ref="F3:J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9" sqref="F9"/>
    </sheetView>
  </sheetViews>
  <sheetFormatPr defaultRowHeight="15" x14ac:dyDescent="0.25"/>
  <cols>
    <col min="1" max="1" width="2.5703125" customWidth="1"/>
    <col min="2" max="2" width="53.42578125" customWidth="1"/>
    <col min="4" max="4" width="12.140625" bestFit="1" customWidth="1"/>
    <col min="5" max="5" width="12.5703125" bestFit="1" customWidth="1"/>
    <col min="6" max="10" width="14.5703125" customWidth="1"/>
  </cols>
  <sheetData>
    <row r="1" spans="1:10" x14ac:dyDescent="0.25">
      <c r="A1" t="str">
        <f>Cover!A2</f>
        <v>Flour Mills of  Nigeria PLC</v>
      </c>
    </row>
    <row r="2" spans="1:10" ht="18.75" x14ac:dyDescent="0.3">
      <c r="A2" s="1" t="s">
        <v>230</v>
      </c>
      <c r="B2" s="1"/>
      <c r="C2" s="1"/>
      <c r="D2" s="1"/>
      <c r="E2" s="1"/>
      <c r="F2" s="15"/>
      <c r="G2" s="11"/>
      <c r="H2" s="11"/>
    </row>
    <row r="3" spans="1:10" x14ac:dyDescent="0.25">
      <c r="A3" s="2"/>
      <c r="B3" s="2"/>
      <c r="C3" s="229" t="s">
        <v>198</v>
      </c>
      <c r="D3" s="230"/>
      <c r="E3" s="231"/>
      <c r="F3" s="226" t="s">
        <v>181</v>
      </c>
      <c r="G3" s="227"/>
      <c r="H3" s="227"/>
      <c r="I3" s="227"/>
      <c r="J3" s="228"/>
    </row>
    <row r="4" spans="1:10" ht="15.75" thickBot="1" x14ac:dyDescent="0.3">
      <c r="A4" s="3" t="s">
        <v>46</v>
      </c>
      <c r="B4" s="3"/>
      <c r="C4" s="105" t="s">
        <v>2</v>
      </c>
      <c r="D4" s="105" t="s">
        <v>3</v>
      </c>
      <c r="E4" s="105" t="s">
        <v>4</v>
      </c>
      <c r="F4" s="105" t="s">
        <v>174</v>
      </c>
      <c r="G4" s="105" t="s">
        <v>175</v>
      </c>
      <c r="H4" s="105" t="s">
        <v>176</v>
      </c>
      <c r="I4" s="105" t="s">
        <v>177</v>
      </c>
      <c r="J4" s="105" t="s">
        <v>178</v>
      </c>
    </row>
    <row r="5" spans="1:10" ht="15.75" thickTop="1" x14ac:dyDescent="0.25"/>
    <row r="6" spans="1:10" s="41" customFormat="1" x14ac:dyDescent="0.25">
      <c r="A6" s="41" t="s">
        <v>214</v>
      </c>
      <c r="C6" s="106"/>
      <c r="D6" s="106">
        <f>'Balance Sheet'!C51</f>
        <v>2032098</v>
      </c>
      <c r="E6" s="107">
        <f>'Balance Sheet'!D51</f>
        <v>2005814</v>
      </c>
      <c r="F6" s="106">
        <f>E11</f>
        <v>2566783</v>
      </c>
      <c r="G6" s="106">
        <f>F11</f>
        <v>2567000</v>
      </c>
      <c r="H6" s="106">
        <f>G11</f>
        <v>2567000</v>
      </c>
      <c r="I6" s="106">
        <f>H11</f>
        <v>2567000</v>
      </c>
      <c r="J6" s="106">
        <f>I11</f>
        <v>2567000</v>
      </c>
    </row>
    <row r="7" spans="1:10" x14ac:dyDescent="0.25">
      <c r="B7" t="s">
        <v>231</v>
      </c>
      <c r="C7" s="107"/>
      <c r="D7" s="107">
        <v>2624253</v>
      </c>
      <c r="E7" s="107">
        <v>5697795</v>
      </c>
      <c r="F7" s="107">
        <f>E7</f>
        <v>5697795</v>
      </c>
      <c r="G7" s="107">
        <f t="shared" ref="G7:J7" si="0">F7</f>
        <v>5697795</v>
      </c>
      <c r="H7" s="107">
        <f t="shared" si="0"/>
        <v>5697795</v>
      </c>
      <c r="I7" s="107">
        <f t="shared" si="0"/>
        <v>5697795</v>
      </c>
      <c r="J7" s="107">
        <f t="shared" si="0"/>
        <v>5697795</v>
      </c>
    </row>
    <row r="8" spans="1:10" x14ac:dyDescent="0.25">
      <c r="B8" t="s">
        <v>232</v>
      </c>
      <c r="C8" s="107"/>
      <c r="D8" s="107">
        <v>-2838587</v>
      </c>
      <c r="E8" s="107">
        <v>-5488598</v>
      </c>
      <c r="F8" s="107">
        <f>ROUND(-F7,-3)</f>
        <v>-5698000</v>
      </c>
      <c r="G8" s="107">
        <f t="shared" ref="G8:J8" si="1">F8</f>
        <v>-5698000</v>
      </c>
      <c r="H8" s="107">
        <f t="shared" si="1"/>
        <v>-5698000</v>
      </c>
      <c r="I8" s="107">
        <f t="shared" si="1"/>
        <v>-5698000</v>
      </c>
      <c r="J8" s="107">
        <f t="shared" si="1"/>
        <v>-5698000</v>
      </c>
    </row>
    <row r="9" spans="1:10" x14ac:dyDescent="0.25">
      <c r="B9" t="s">
        <v>233</v>
      </c>
      <c r="C9" s="107"/>
      <c r="D9" s="107">
        <v>-28415</v>
      </c>
      <c r="E9" s="107">
        <v>-428</v>
      </c>
      <c r="F9" s="107"/>
      <c r="G9" s="107"/>
      <c r="H9" s="107"/>
      <c r="I9" s="107"/>
      <c r="J9" s="107"/>
    </row>
    <row r="10" spans="1:10" x14ac:dyDescent="0.25">
      <c r="B10" t="s">
        <v>234</v>
      </c>
      <c r="C10" s="107"/>
      <c r="D10" s="107">
        <v>216465</v>
      </c>
      <c r="E10" s="107">
        <v>352200</v>
      </c>
      <c r="F10" s="107"/>
      <c r="G10" s="107"/>
      <c r="H10" s="107"/>
      <c r="I10" s="107"/>
      <c r="J10" s="107"/>
    </row>
    <row r="11" spans="1:10" s="41" customFormat="1" x14ac:dyDescent="0.25">
      <c r="A11" s="41" t="s">
        <v>220</v>
      </c>
      <c r="C11" s="108"/>
      <c r="D11" s="108">
        <f>SUM(D6:D10)</f>
        <v>2005814</v>
      </c>
      <c r="E11" s="108">
        <f>SUM(E6:E10)</f>
        <v>2566783</v>
      </c>
      <c r="F11" s="108">
        <f>ROUND(SUM(F6:F10),-3)</f>
        <v>2567000</v>
      </c>
      <c r="G11" s="108">
        <f t="shared" ref="G11:J11" si="2">ROUND(SUM(G6:G10),-3)</f>
        <v>2567000</v>
      </c>
      <c r="H11" s="108">
        <f t="shared" si="2"/>
        <v>2567000</v>
      </c>
      <c r="I11" s="108">
        <f t="shared" si="2"/>
        <v>2567000</v>
      </c>
      <c r="J11" s="108">
        <f t="shared" si="2"/>
        <v>2567000</v>
      </c>
    </row>
    <row r="13" spans="1:10" ht="16.5" x14ac:dyDescent="0.35">
      <c r="E13" s="159">
        <v>4100395606</v>
      </c>
      <c r="F13" s="107"/>
      <c r="G13" s="107"/>
      <c r="H13" s="107"/>
    </row>
    <row r="14" spans="1:10" x14ac:dyDescent="0.25">
      <c r="D14" s="107"/>
      <c r="E14" s="107"/>
    </row>
    <row r="15" spans="1:10" x14ac:dyDescent="0.25">
      <c r="E15" s="160">
        <f>E8/E13</f>
        <v>-1.3385532829975431E-3</v>
      </c>
    </row>
    <row r="18" spans="5:5" x14ac:dyDescent="0.25">
      <c r="E18">
        <f>-E8*1000</f>
        <v>5488598000</v>
      </c>
    </row>
    <row r="20" spans="5:5" x14ac:dyDescent="0.25">
      <c r="E20" s="161">
        <f>E18/E13</f>
        <v>1.3385532829975431</v>
      </c>
    </row>
  </sheetData>
  <mergeCells count="2">
    <mergeCell ref="F3:J3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Income Statement</vt:lpstr>
      <vt:lpstr>CashFlow</vt:lpstr>
      <vt:lpstr>Balance Sheet</vt:lpstr>
      <vt:lpstr>Tax Schedule</vt:lpstr>
      <vt:lpstr>Depreciation Schedule</vt:lpstr>
      <vt:lpstr>Working Capital Schedule</vt:lpstr>
      <vt:lpstr>Debt Schedule</vt:lpstr>
      <vt:lpstr>Dividend Schedule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Amuta</dc:creator>
  <cp:lastModifiedBy>Mathias Amuta</cp:lastModifiedBy>
  <cp:lastPrinted>2019-10-22T14:09:14Z</cp:lastPrinted>
  <dcterms:created xsi:type="dcterms:W3CDTF">2019-09-27T14:15:06Z</dcterms:created>
  <dcterms:modified xsi:type="dcterms:W3CDTF">2020-01-10T14:26:14Z</dcterms:modified>
</cp:coreProperties>
</file>