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C:\Users\Mathias Amuta\Documents\Documents samsng\3 CONSULTANCY\1 NgCareers\FloorMills\FloorMillFinMod_\"/>
    </mc:Choice>
  </mc:AlternateContent>
  <bookViews>
    <workbookView xWindow="0" yWindow="0" windowWidth="20490" windowHeight="7755" tabRatio="900" activeTab="2"/>
  </bookViews>
  <sheets>
    <sheet name="Cover" sheetId="2" r:id="rId1"/>
    <sheet name="Ass &amp; ScenarioAnalysis" sheetId="1" r:id="rId2"/>
    <sheet name="BalSheet" sheetId="13" r:id="rId3"/>
    <sheet name="Income Statement" sheetId="5" r:id="rId4"/>
    <sheet name="Cash Flow" sheetId="12" r:id="rId5"/>
    <sheet name="DCF Valuation" sheetId="10" r:id="rId6"/>
    <sheet name="Beta Calulations" sheetId="15" r:id="rId7"/>
    <sheet name="Revenue" sheetId="3" r:id="rId8"/>
    <sheet name="Expenses" sheetId="6" r:id="rId9"/>
    <sheet name="Dep &amp; Amort Schedule" sheetId="7" r:id="rId10"/>
    <sheet name="Debt" sheetId="4" r:id="rId11"/>
    <sheet name="Sheet1" sheetId="14" r:id="rId12"/>
  </sheets>
  <definedNames>
    <definedName name="year1">Expenses!$H$10:$S$10</definedName>
  </definedNames>
  <calcPr calcId="152511" iterate="1" iterateCount="11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0" l="1"/>
  <c r="B3" i="12"/>
  <c r="B3" i="5"/>
  <c r="B3" i="13"/>
  <c r="F8" i="13" l="1"/>
  <c r="I17" i="15" l="1"/>
  <c r="C14" i="1" l="1"/>
  <c r="C23" i="3"/>
  <c r="C24" i="3"/>
  <c r="I22" i="15"/>
  <c r="I12" i="15"/>
  <c r="J6" i="15"/>
  <c r="I6" i="15"/>
  <c r="E52" i="10" l="1"/>
  <c r="E49" i="10"/>
  <c r="E48" i="10"/>
  <c r="D21" i="10"/>
  <c r="E19" i="10"/>
  <c r="D19" i="10"/>
  <c r="H1" i="1"/>
  <c r="G1" i="1"/>
  <c r="C31" i="1"/>
  <c r="H8" i="6" s="1"/>
  <c r="I8" i="6" s="1"/>
  <c r="C30" i="1"/>
  <c r="C26" i="1"/>
  <c r="C25" i="1"/>
  <c r="C24" i="1"/>
  <c r="C21" i="1"/>
  <c r="C20" i="1"/>
  <c r="C19" i="1"/>
  <c r="C16" i="1"/>
  <c r="J24" i="3" s="1"/>
  <c r="K24" i="3" s="1"/>
  <c r="L24" i="3" s="1"/>
  <c r="M24" i="3" s="1"/>
  <c r="N24" i="3" s="1"/>
  <c r="O24" i="3" s="1"/>
  <c r="P24" i="3" s="1"/>
  <c r="Q24" i="3" s="1"/>
  <c r="R24" i="3" s="1"/>
  <c r="S24" i="3" s="1"/>
  <c r="T24" i="3" s="1"/>
  <c r="U24" i="3" s="1"/>
  <c r="V24" i="3" s="1"/>
  <c r="W24" i="3" s="1"/>
  <c r="X24" i="3" s="1"/>
  <c r="Y24" i="3" s="1"/>
  <c r="Z24" i="3" s="1"/>
  <c r="AA24" i="3" s="1"/>
  <c r="AB24" i="3" s="1"/>
  <c r="AC24" i="3" s="1"/>
  <c r="AD24" i="3" s="1"/>
  <c r="AE24" i="3" s="1"/>
  <c r="AF24" i="3" s="1"/>
  <c r="AG24" i="3" s="1"/>
  <c r="AH24" i="3" s="1"/>
  <c r="AI24" i="3" s="1"/>
  <c r="AJ24" i="3" s="1"/>
  <c r="AK24" i="3" s="1"/>
  <c r="AL24" i="3" s="1"/>
  <c r="AM24" i="3" s="1"/>
  <c r="AN24" i="3" s="1"/>
  <c r="AO24" i="3" s="1"/>
  <c r="AP24" i="3" s="1"/>
  <c r="AQ24" i="3" s="1"/>
  <c r="AR24" i="3" s="1"/>
  <c r="AS24" i="3" s="1"/>
  <c r="AT24" i="3" s="1"/>
  <c r="AU24" i="3" s="1"/>
  <c r="AV24" i="3" s="1"/>
  <c r="AW24" i="3" s="1"/>
  <c r="AX24" i="3" s="1"/>
  <c r="AY24" i="3" s="1"/>
  <c r="AZ24" i="3" s="1"/>
  <c r="BA24" i="3" s="1"/>
  <c r="BB24" i="3" s="1"/>
  <c r="BC24" i="3" s="1"/>
  <c r="BD24" i="3" s="1"/>
  <c r="BE24" i="3" s="1"/>
  <c r="BF24" i="3" s="1"/>
  <c r="BG24" i="3" s="1"/>
  <c r="BH24" i="3" s="1"/>
  <c r="BI24" i="3" s="1"/>
  <c r="BJ24" i="3" s="1"/>
  <c r="BK24" i="3" s="1"/>
  <c r="BL24" i="3" s="1"/>
  <c r="BM24" i="3" s="1"/>
  <c r="BN24" i="3" s="1"/>
  <c r="BO24" i="3" s="1"/>
  <c r="BP24" i="3" s="1"/>
  <c r="C15" i="1"/>
  <c r="H23" i="3" s="1"/>
  <c r="A1" i="1"/>
  <c r="I23" i="3" l="1"/>
  <c r="D20" i="10"/>
  <c r="I21" i="15"/>
  <c r="I23" i="15" s="1"/>
  <c r="D8" i="10" s="1"/>
  <c r="E20" i="10"/>
  <c r="I9" i="7"/>
  <c r="F5" i="7"/>
  <c r="G5" i="7"/>
  <c r="H5" i="7"/>
  <c r="E5" i="7"/>
  <c r="E7" i="7" s="1"/>
  <c r="F7" i="7" s="1"/>
  <c r="G7" i="7" s="1"/>
  <c r="H7" i="7" s="1"/>
  <c r="C23" i="12"/>
  <c r="E23" i="12"/>
  <c r="E30" i="13"/>
  <c r="G15" i="4"/>
  <c r="D25" i="13"/>
  <c r="D30" i="13"/>
  <c r="D14" i="13"/>
  <c r="G12" i="4"/>
  <c r="C12" i="1"/>
  <c r="C11" i="1"/>
  <c r="C10" i="1"/>
  <c r="C9" i="1"/>
  <c r="J23" i="3" l="1"/>
  <c r="H7" i="4"/>
  <c r="H5" i="4"/>
  <c r="H10" i="4" s="1"/>
  <c r="G11" i="4"/>
  <c r="K23" i="3" l="1"/>
  <c r="H6" i="4"/>
  <c r="I5" i="4"/>
  <c r="H11" i="4"/>
  <c r="L23" i="3" l="1"/>
  <c r="I6" i="4"/>
  <c r="I10" i="4"/>
  <c r="M23" i="3" l="1"/>
  <c r="F17" i="12"/>
  <c r="E17" i="12"/>
  <c r="C5" i="7"/>
  <c r="D23" i="12"/>
  <c r="D22" i="12"/>
  <c r="D17" i="12"/>
  <c r="D9" i="12"/>
  <c r="D13" i="12"/>
  <c r="D12" i="12"/>
  <c r="D11" i="12"/>
  <c r="D22" i="13"/>
  <c r="D21" i="13"/>
  <c r="D15" i="13"/>
  <c r="D8" i="13"/>
  <c r="N23" i="3" l="1"/>
  <c r="E21" i="13"/>
  <c r="O23" i="3" l="1"/>
  <c r="D9" i="10"/>
  <c r="E21" i="10" s="1"/>
  <c r="D22" i="10" s="1"/>
  <c r="G13" i="12"/>
  <c r="H13" i="12"/>
  <c r="I13" i="12"/>
  <c r="F13" i="12"/>
  <c r="F11" i="12"/>
  <c r="F12" i="12"/>
  <c r="G12" i="12"/>
  <c r="H12" i="12"/>
  <c r="I12" i="12"/>
  <c r="G11" i="12"/>
  <c r="H11" i="12"/>
  <c r="I11" i="12"/>
  <c r="E13" i="12"/>
  <c r="E12" i="12"/>
  <c r="E11" i="12"/>
  <c r="E19" i="12"/>
  <c r="F19" i="12"/>
  <c r="G19" i="12"/>
  <c r="H19" i="12"/>
  <c r="I19" i="12"/>
  <c r="E24" i="12"/>
  <c r="F24" i="12"/>
  <c r="G24" i="12"/>
  <c r="H24" i="12"/>
  <c r="I24" i="12"/>
  <c r="D24" i="12"/>
  <c r="D19" i="12"/>
  <c r="E32" i="13"/>
  <c r="C19" i="13"/>
  <c r="F21" i="13"/>
  <c r="G21" i="13" s="1"/>
  <c r="H21" i="13" s="1"/>
  <c r="I21" i="13" s="1"/>
  <c r="F32" i="13"/>
  <c r="G32" i="13"/>
  <c r="H32" i="13"/>
  <c r="I32" i="13"/>
  <c r="D32" i="13"/>
  <c r="E27" i="13"/>
  <c r="F27" i="13"/>
  <c r="G27" i="13"/>
  <c r="H27" i="13"/>
  <c r="I27" i="13"/>
  <c r="D27" i="13"/>
  <c r="D23" i="13"/>
  <c r="D11" i="13"/>
  <c r="P23" i="3" l="1"/>
  <c r="D13" i="10"/>
  <c r="D34" i="13"/>
  <c r="Q23" i="3" l="1"/>
  <c r="A1" i="13"/>
  <c r="D14" i="12"/>
  <c r="D26" i="12" s="1"/>
  <c r="D28" i="12" s="1"/>
  <c r="B1" i="12"/>
  <c r="D32" i="10"/>
  <c r="D35" i="10" s="1"/>
  <c r="D39" i="10" s="1"/>
  <c r="B1" i="10"/>
  <c r="F25" i="5"/>
  <c r="G25" i="5"/>
  <c r="H25" i="5"/>
  <c r="E25" i="5"/>
  <c r="D25" i="5"/>
  <c r="E33" i="10" s="1"/>
  <c r="F3" i="7"/>
  <c r="G3" i="7"/>
  <c r="H3" i="7"/>
  <c r="I3" i="7"/>
  <c r="E3" i="7"/>
  <c r="D49" i="6"/>
  <c r="E49" i="6" s="1"/>
  <c r="F49" i="6" s="1"/>
  <c r="G49" i="6" s="1"/>
  <c r="H49" i="6" s="1"/>
  <c r="D50" i="6"/>
  <c r="D48" i="6"/>
  <c r="C48" i="6"/>
  <c r="D21" i="5"/>
  <c r="E21" i="5" s="1"/>
  <c r="F21" i="5" s="1"/>
  <c r="G21" i="5" s="1"/>
  <c r="H21" i="5" s="1"/>
  <c r="F18" i="6"/>
  <c r="G18" i="6"/>
  <c r="J18" i="6"/>
  <c r="J19" i="6" s="1"/>
  <c r="K18" i="6"/>
  <c r="N18" i="6"/>
  <c r="N19" i="6" s="1"/>
  <c r="O18" i="6"/>
  <c r="R18" i="6"/>
  <c r="R19" i="6" s="1"/>
  <c r="S18" i="6"/>
  <c r="G17" i="6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F17" i="6"/>
  <c r="E18" i="6"/>
  <c r="E19" i="6" s="1"/>
  <c r="D18" i="6"/>
  <c r="D19" i="6" s="1"/>
  <c r="C50" i="6"/>
  <c r="C45" i="6"/>
  <c r="D26" i="6"/>
  <c r="E23" i="6" s="1"/>
  <c r="E25" i="6" s="1"/>
  <c r="E24" i="6"/>
  <c r="F24" i="6" s="1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AL24" i="6" s="1"/>
  <c r="AM24" i="6" s="1"/>
  <c r="AN24" i="6" s="1"/>
  <c r="AO24" i="6" s="1"/>
  <c r="AP24" i="6" s="1"/>
  <c r="AQ24" i="6" s="1"/>
  <c r="AR24" i="6" s="1"/>
  <c r="AS24" i="6" s="1"/>
  <c r="AT24" i="6" s="1"/>
  <c r="AU24" i="6" s="1"/>
  <c r="AV24" i="6" s="1"/>
  <c r="AW24" i="6" s="1"/>
  <c r="AX24" i="6" s="1"/>
  <c r="AY24" i="6" s="1"/>
  <c r="AZ24" i="6" s="1"/>
  <c r="BA24" i="6" s="1"/>
  <c r="BB24" i="6" s="1"/>
  <c r="BC24" i="6" s="1"/>
  <c r="BD24" i="6" s="1"/>
  <c r="BE24" i="6" s="1"/>
  <c r="BF24" i="6" s="1"/>
  <c r="BG24" i="6" s="1"/>
  <c r="BH24" i="6" s="1"/>
  <c r="BI24" i="6" s="1"/>
  <c r="BJ24" i="6" s="1"/>
  <c r="BK24" i="6" s="1"/>
  <c r="BL24" i="6" s="1"/>
  <c r="BM24" i="6" s="1"/>
  <c r="BN24" i="6" s="1"/>
  <c r="BO24" i="6" s="1"/>
  <c r="BP24" i="6" s="1"/>
  <c r="C47" i="6"/>
  <c r="C46" i="6"/>
  <c r="E10" i="6"/>
  <c r="J8" i="6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C8" i="6" s="1"/>
  <c r="BD8" i="6" s="1"/>
  <c r="BE8" i="6" s="1"/>
  <c r="BF8" i="6" s="1"/>
  <c r="BG8" i="6" s="1"/>
  <c r="BH8" i="6" s="1"/>
  <c r="BI8" i="6" s="1"/>
  <c r="BJ8" i="6" s="1"/>
  <c r="BK8" i="6" s="1"/>
  <c r="BL8" i="6" s="1"/>
  <c r="BM8" i="6" s="1"/>
  <c r="BN8" i="6" s="1"/>
  <c r="BO8" i="6" s="1"/>
  <c r="BP8" i="6" s="1"/>
  <c r="G7" i="6"/>
  <c r="F7" i="6"/>
  <c r="B1" i="5"/>
  <c r="H59" i="3"/>
  <c r="G59" i="3"/>
  <c r="F59" i="3"/>
  <c r="E59" i="3"/>
  <c r="H58" i="3"/>
  <c r="G58" i="3"/>
  <c r="F58" i="3"/>
  <c r="E58" i="3"/>
  <c r="D59" i="3"/>
  <c r="D58" i="3"/>
  <c r="C59" i="3"/>
  <c r="C55" i="3"/>
  <c r="B37" i="3"/>
  <c r="C58" i="3" s="1"/>
  <c r="E30" i="3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A30" i="3" s="1"/>
  <c r="BB30" i="3" s="1"/>
  <c r="BC30" i="3" s="1"/>
  <c r="BD30" i="3" s="1"/>
  <c r="BE30" i="3" s="1"/>
  <c r="BF30" i="3" s="1"/>
  <c r="BG30" i="3" s="1"/>
  <c r="BH30" i="3" s="1"/>
  <c r="BI30" i="3" s="1"/>
  <c r="BJ30" i="3" s="1"/>
  <c r="BK30" i="3" s="1"/>
  <c r="BL30" i="3" s="1"/>
  <c r="BM30" i="3" s="1"/>
  <c r="BN30" i="3" s="1"/>
  <c r="BO30" i="3" s="1"/>
  <c r="BP30" i="3" s="1"/>
  <c r="D32" i="3"/>
  <c r="E29" i="3" s="1"/>
  <c r="B28" i="3"/>
  <c r="C57" i="3" s="1"/>
  <c r="D20" i="3"/>
  <c r="B17" i="3"/>
  <c r="C56" i="3" s="1"/>
  <c r="I8" i="3"/>
  <c r="J8" i="3" s="1"/>
  <c r="K8" i="3" s="1"/>
  <c r="L8" i="3" s="1"/>
  <c r="M8" i="3" s="1"/>
  <c r="N8" i="3" s="1"/>
  <c r="O8" i="3" s="1"/>
  <c r="P8" i="3" s="1"/>
  <c r="Q8" i="3" s="1"/>
  <c r="R8" i="3" s="1"/>
  <c r="S8" i="3" s="1"/>
  <c r="T8" i="3" s="1"/>
  <c r="U8" i="3" s="1"/>
  <c r="V8" i="3" s="1"/>
  <c r="W8" i="3" s="1"/>
  <c r="X8" i="3" s="1"/>
  <c r="Y8" i="3" s="1"/>
  <c r="Z8" i="3" s="1"/>
  <c r="AA8" i="3" s="1"/>
  <c r="AB8" i="3" s="1"/>
  <c r="AC8" i="3" s="1"/>
  <c r="AD8" i="3" s="1"/>
  <c r="AE8" i="3" s="1"/>
  <c r="AF8" i="3" s="1"/>
  <c r="AG8" i="3" s="1"/>
  <c r="AH8" i="3" s="1"/>
  <c r="AI8" i="3" s="1"/>
  <c r="AJ8" i="3" s="1"/>
  <c r="AK8" i="3" s="1"/>
  <c r="AL8" i="3" s="1"/>
  <c r="AM8" i="3" s="1"/>
  <c r="AN8" i="3" s="1"/>
  <c r="AO8" i="3" s="1"/>
  <c r="AP8" i="3" s="1"/>
  <c r="AQ8" i="3" s="1"/>
  <c r="AR8" i="3" s="1"/>
  <c r="AS8" i="3" s="1"/>
  <c r="AT8" i="3" s="1"/>
  <c r="AU8" i="3" s="1"/>
  <c r="AV8" i="3" s="1"/>
  <c r="AW8" i="3" s="1"/>
  <c r="AX8" i="3" s="1"/>
  <c r="AY8" i="3" s="1"/>
  <c r="AZ8" i="3" s="1"/>
  <c r="BA8" i="3" s="1"/>
  <c r="BB8" i="3" s="1"/>
  <c r="BC8" i="3" s="1"/>
  <c r="BD8" i="3" s="1"/>
  <c r="BE8" i="3" s="1"/>
  <c r="BF8" i="3" s="1"/>
  <c r="BG8" i="3" s="1"/>
  <c r="BH8" i="3" s="1"/>
  <c r="BI8" i="3" s="1"/>
  <c r="BJ8" i="3" s="1"/>
  <c r="BK8" i="3" s="1"/>
  <c r="BL8" i="3" s="1"/>
  <c r="BM8" i="3" s="1"/>
  <c r="BN8" i="3" s="1"/>
  <c r="BO8" i="3" s="1"/>
  <c r="BP8" i="3" s="1"/>
  <c r="F19" i="3"/>
  <c r="G7" i="3"/>
  <c r="E11" i="3"/>
  <c r="R23" i="3" l="1"/>
  <c r="D22" i="3"/>
  <c r="D20" i="5"/>
  <c r="E48" i="6"/>
  <c r="F48" i="6" s="1"/>
  <c r="G48" i="6" s="1"/>
  <c r="H48" i="6" s="1"/>
  <c r="S19" i="6"/>
  <c r="E50" i="6"/>
  <c r="F50" i="6" s="1"/>
  <c r="G50" i="6" s="1"/>
  <c r="H50" i="6" s="1"/>
  <c r="H22" i="5" s="1"/>
  <c r="F33" i="10"/>
  <c r="F10" i="12"/>
  <c r="I10" i="12"/>
  <c r="I33" i="10"/>
  <c r="G10" i="12"/>
  <c r="G33" i="10"/>
  <c r="H10" i="12"/>
  <c r="H33" i="10"/>
  <c r="E10" i="12"/>
  <c r="G11" i="3"/>
  <c r="H7" i="3"/>
  <c r="H19" i="3" s="1"/>
  <c r="G10" i="6"/>
  <c r="H7" i="6"/>
  <c r="E27" i="12"/>
  <c r="D16" i="13"/>
  <c r="D18" i="13" s="1"/>
  <c r="D35" i="13" s="1"/>
  <c r="D19" i="13" s="1"/>
  <c r="F19" i="6"/>
  <c r="D22" i="5"/>
  <c r="Q18" i="6"/>
  <c r="Q19" i="6" s="1"/>
  <c r="M18" i="6"/>
  <c r="M19" i="6" s="1"/>
  <c r="I18" i="6"/>
  <c r="I19" i="6" s="1"/>
  <c r="P18" i="6"/>
  <c r="P19" i="6" s="1"/>
  <c r="L18" i="6"/>
  <c r="L19" i="6" s="1"/>
  <c r="H18" i="6"/>
  <c r="H19" i="6" s="1"/>
  <c r="O19" i="6"/>
  <c r="K19" i="6"/>
  <c r="G19" i="6"/>
  <c r="F10" i="6"/>
  <c r="D28" i="6"/>
  <c r="E26" i="6"/>
  <c r="D34" i="3"/>
  <c r="E31" i="3"/>
  <c r="E32" i="3" s="1"/>
  <c r="G19" i="3"/>
  <c r="E19" i="3"/>
  <c r="F11" i="3"/>
  <c r="S23" i="3" l="1"/>
  <c r="E18" i="3"/>
  <c r="E20" i="3" s="1"/>
  <c r="E9" i="7"/>
  <c r="E8" i="13" s="1"/>
  <c r="E11" i="13" s="1"/>
  <c r="F22" i="5"/>
  <c r="E22" i="5"/>
  <c r="E20" i="5"/>
  <c r="G22" i="5"/>
  <c r="H10" i="6"/>
  <c r="I7" i="6"/>
  <c r="F20" i="5"/>
  <c r="E28" i="6"/>
  <c r="F23" i="6"/>
  <c r="F29" i="3"/>
  <c r="E34" i="3"/>
  <c r="I7" i="3"/>
  <c r="I19" i="3" s="1"/>
  <c r="H11" i="3"/>
  <c r="T23" i="3" l="1"/>
  <c r="F9" i="7"/>
  <c r="F11" i="13" s="1"/>
  <c r="G9" i="7"/>
  <c r="G8" i="13" s="1"/>
  <c r="G11" i="13" s="1"/>
  <c r="I10" i="6"/>
  <c r="J7" i="6"/>
  <c r="H20" i="5"/>
  <c r="G20" i="5"/>
  <c r="F25" i="6"/>
  <c r="F26" i="6" s="1"/>
  <c r="F31" i="3"/>
  <c r="F32" i="3" s="1"/>
  <c r="J7" i="3"/>
  <c r="J19" i="3" s="1"/>
  <c r="I11" i="3"/>
  <c r="U23" i="3" l="1"/>
  <c r="E22" i="3"/>
  <c r="H9" i="7"/>
  <c r="H8" i="13" s="1"/>
  <c r="H11" i="13" s="1"/>
  <c r="I8" i="13"/>
  <c r="I11" i="13" s="1"/>
  <c r="J10" i="6"/>
  <c r="K7" i="6"/>
  <c r="F28" i="6"/>
  <c r="G23" i="6"/>
  <c r="G29" i="3"/>
  <c r="G31" i="3" s="1"/>
  <c r="G32" i="3" s="1"/>
  <c r="F34" i="3"/>
  <c r="K7" i="3"/>
  <c r="K19" i="3" s="1"/>
  <c r="J11" i="3"/>
  <c r="V23" i="3" l="1"/>
  <c r="F18" i="3"/>
  <c r="F20" i="3" s="1"/>
  <c r="K10" i="6"/>
  <c r="L7" i="6"/>
  <c r="G25" i="6"/>
  <c r="G26" i="6" s="1"/>
  <c r="G34" i="3"/>
  <c r="H29" i="3"/>
  <c r="H31" i="3" s="1"/>
  <c r="H32" i="3" s="1"/>
  <c r="I29" i="3" s="1"/>
  <c r="L7" i="3"/>
  <c r="L19" i="3" s="1"/>
  <c r="K11" i="3"/>
  <c r="W23" i="3" l="1"/>
  <c r="F22" i="3"/>
  <c r="G18" i="3" s="1"/>
  <c r="G20" i="3" s="1"/>
  <c r="L10" i="6"/>
  <c r="M7" i="6"/>
  <c r="G28" i="6"/>
  <c r="H23" i="6"/>
  <c r="H34" i="3"/>
  <c r="I31" i="3"/>
  <c r="M7" i="3"/>
  <c r="M19" i="3" s="1"/>
  <c r="L11" i="3"/>
  <c r="X23" i="3" l="1"/>
  <c r="G22" i="3"/>
  <c r="M10" i="6"/>
  <c r="N7" i="6"/>
  <c r="H25" i="6"/>
  <c r="H26" i="6" s="1"/>
  <c r="I32" i="3"/>
  <c r="M11" i="3"/>
  <c r="N7" i="3"/>
  <c r="N11" i="3" s="1"/>
  <c r="Y23" i="3" l="1"/>
  <c r="H18" i="3"/>
  <c r="H20" i="3" s="1"/>
  <c r="N10" i="6"/>
  <c r="O7" i="6"/>
  <c r="H28" i="6"/>
  <c r="I23" i="6"/>
  <c r="I34" i="3"/>
  <c r="J29" i="3"/>
  <c r="O7" i="3"/>
  <c r="O11" i="3" s="1"/>
  <c r="N19" i="3"/>
  <c r="Z23" i="3" l="1"/>
  <c r="H22" i="3"/>
  <c r="H25" i="3" s="1"/>
  <c r="O10" i="6"/>
  <c r="P7" i="6"/>
  <c r="I25" i="6"/>
  <c r="I26" i="6" s="1"/>
  <c r="J31" i="3"/>
  <c r="J32" i="3" s="1"/>
  <c r="P7" i="3"/>
  <c r="P11" i="3" s="1"/>
  <c r="O19" i="3"/>
  <c r="AA23" i="3" l="1"/>
  <c r="P10" i="6"/>
  <c r="Q7" i="6"/>
  <c r="I28" i="6"/>
  <c r="J23" i="6"/>
  <c r="J34" i="3"/>
  <c r="K29" i="3"/>
  <c r="K31" i="3" s="1"/>
  <c r="K32" i="3" s="1"/>
  <c r="I18" i="3"/>
  <c r="I20" i="3" s="1"/>
  <c r="Q7" i="3"/>
  <c r="Q11" i="3" s="1"/>
  <c r="P19" i="3"/>
  <c r="AB23" i="3" l="1"/>
  <c r="I22" i="3"/>
  <c r="I25" i="3" s="1"/>
  <c r="Q10" i="6"/>
  <c r="R7" i="6"/>
  <c r="J25" i="6"/>
  <c r="J26" i="6" s="1"/>
  <c r="K34" i="3"/>
  <c r="L29" i="3"/>
  <c r="L31" i="3" s="1"/>
  <c r="R7" i="3"/>
  <c r="R11" i="3" s="1"/>
  <c r="Q19" i="3"/>
  <c r="AC23" i="3" l="1"/>
  <c r="R10" i="6"/>
  <c r="S7" i="6"/>
  <c r="J28" i="6"/>
  <c r="K23" i="6"/>
  <c r="J18" i="3"/>
  <c r="J20" i="3" s="1"/>
  <c r="L32" i="3"/>
  <c r="S7" i="3"/>
  <c r="S11" i="3" s="1"/>
  <c r="D55" i="3" s="1"/>
  <c r="R19" i="3"/>
  <c r="AD23" i="3" l="1"/>
  <c r="J22" i="3"/>
  <c r="J25" i="3" s="1"/>
  <c r="S10" i="6"/>
  <c r="D45" i="6" s="1"/>
  <c r="D11" i="5" s="1"/>
  <c r="D12" i="5" s="1"/>
  <c r="T7" i="6"/>
  <c r="K25" i="6"/>
  <c r="K26" i="6" s="1"/>
  <c r="L34" i="3"/>
  <c r="M29" i="3"/>
  <c r="T7" i="3"/>
  <c r="T11" i="3" s="1"/>
  <c r="S19" i="3"/>
  <c r="AE23" i="3" l="1"/>
  <c r="T10" i="6"/>
  <c r="U7" i="6"/>
  <c r="K28" i="6"/>
  <c r="L23" i="6"/>
  <c r="K18" i="3"/>
  <c r="K20" i="3" s="1"/>
  <c r="M31" i="3"/>
  <c r="M32" i="3" s="1"/>
  <c r="U7" i="3"/>
  <c r="U11" i="3" s="1"/>
  <c r="T19" i="3"/>
  <c r="AF23" i="3" l="1"/>
  <c r="K22" i="3"/>
  <c r="K25" i="3" s="1"/>
  <c r="U10" i="6"/>
  <c r="V7" i="6"/>
  <c r="L25" i="6"/>
  <c r="L26" i="6" s="1"/>
  <c r="M34" i="3"/>
  <c r="N29" i="3"/>
  <c r="V7" i="3"/>
  <c r="V11" i="3" s="1"/>
  <c r="U19" i="3"/>
  <c r="AG23" i="3" l="1"/>
  <c r="V10" i="6"/>
  <c r="W7" i="6"/>
  <c r="L18" i="3"/>
  <c r="L20" i="3" s="1"/>
  <c r="M23" i="6"/>
  <c r="L28" i="6"/>
  <c r="N31" i="3"/>
  <c r="N32" i="3" s="1"/>
  <c r="W7" i="3"/>
  <c r="W11" i="3" s="1"/>
  <c r="V19" i="3"/>
  <c r="AH23" i="3" l="1"/>
  <c r="L22" i="3"/>
  <c r="L25" i="3" s="1"/>
  <c r="W10" i="6"/>
  <c r="X7" i="6"/>
  <c r="M25" i="6"/>
  <c r="M26" i="6" s="1"/>
  <c r="N34" i="3"/>
  <c r="O29" i="3"/>
  <c r="X7" i="3"/>
  <c r="X11" i="3" s="1"/>
  <c r="W19" i="3"/>
  <c r="AI23" i="3" l="1"/>
  <c r="X10" i="6"/>
  <c r="Y7" i="6"/>
  <c r="M18" i="3"/>
  <c r="M20" i="3" s="1"/>
  <c r="M28" i="6"/>
  <c r="N23" i="6"/>
  <c r="O31" i="3"/>
  <c r="O32" i="3" s="1"/>
  <c r="Y7" i="3"/>
  <c r="Y11" i="3" s="1"/>
  <c r="X19" i="3"/>
  <c r="AJ23" i="3" l="1"/>
  <c r="M22" i="3"/>
  <c r="M25" i="3" s="1"/>
  <c r="Y10" i="6"/>
  <c r="Z7" i="6"/>
  <c r="N25" i="6"/>
  <c r="N26" i="6" s="1"/>
  <c r="O34" i="3"/>
  <c r="P29" i="3"/>
  <c r="Z7" i="3"/>
  <c r="Z11" i="3" s="1"/>
  <c r="Y19" i="3"/>
  <c r="AK23" i="3" l="1"/>
  <c r="Z10" i="6"/>
  <c r="AA7" i="6"/>
  <c r="N18" i="3"/>
  <c r="N20" i="3" s="1"/>
  <c r="N28" i="6"/>
  <c r="O23" i="6"/>
  <c r="P31" i="3"/>
  <c r="P32" i="3" s="1"/>
  <c r="AA7" i="3"/>
  <c r="AA11" i="3" s="1"/>
  <c r="Z19" i="3"/>
  <c r="AL23" i="3" l="1"/>
  <c r="N22" i="3"/>
  <c r="AA10" i="6"/>
  <c r="AB7" i="6"/>
  <c r="O25" i="6"/>
  <c r="O26" i="6" s="1"/>
  <c r="P34" i="3"/>
  <c r="Q29" i="3"/>
  <c r="AB7" i="3"/>
  <c r="AB11" i="3" s="1"/>
  <c r="AA19" i="3"/>
  <c r="AM23" i="3" l="1"/>
  <c r="O18" i="3"/>
  <c r="O20" i="3" s="1"/>
  <c r="O22" i="3" s="1"/>
  <c r="O25" i="3" s="1"/>
  <c r="N25" i="3"/>
  <c r="AB10" i="6"/>
  <c r="AC7" i="6"/>
  <c r="O28" i="6"/>
  <c r="P23" i="6"/>
  <c r="Q31" i="3"/>
  <c r="Q32" i="3" s="1"/>
  <c r="AC7" i="3"/>
  <c r="AC11" i="3" s="1"/>
  <c r="AB19" i="3"/>
  <c r="AN23" i="3" l="1"/>
  <c r="AC10" i="6"/>
  <c r="AD7" i="6"/>
  <c r="P25" i="6"/>
  <c r="P26" i="6" s="1"/>
  <c r="Q34" i="3"/>
  <c r="R29" i="3"/>
  <c r="P18" i="3"/>
  <c r="P20" i="3" s="1"/>
  <c r="AD7" i="3"/>
  <c r="AD11" i="3" s="1"/>
  <c r="AC19" i="3"/>
  <c r="AO23" i="3" l="1"/>
  <c r="P22" i="3"/>
  <c r="P25" i="3" s="1"/>
  <c r="AD10" i="6"/>
  <c r="AE7" i="6"/>
  <c r="Q23" i="6"/>
  <c r="P28" i="6"/>
  <c r="R31" i="3"/>
  <c r="R32" i="3" s="1"/>
  <c r="AE7" i="3"/>
  <c r="AE11" i="3" s="1"/>
  <c r="E55" i="3" s="1"/>
  <c r="AD19" i="3"/>
  <c r="AP23" i="3" l="1"/>
  <c r="AE10" i="6"/>
  <c r="E45" i="6" s="1"/>
  <c r="E11" i="5" s="1"/>
  <c r="E12" i="5" s="1"/>
  <c r="AF7" i="6"/>
  <c r="Q25" i="6"/>
  <c r="Q26" i="6" s="1"/>
  <c r="R34" i="3"/>
  <c r="S29" i="3"/>
  <c r="Q18" i="3"/>
  <c r="Q20" i="3" s="1"/>
  <c r="AF7" i="3"/>
  <c r="AF11" i="3" s="1"/>
  <c r="AE19" i="3"/>
  <c r="AQ23" i="3" l="1"/>
  <c r="Q22" i="3"/>
  <c r="Q25" i="3" s="1"/>
  <c r="AF10" i="6"/>
  <c r="AG7" i="6"/>
  <c r="Q28" i="6"/>
  <c r="R23" i="6"/>
  <c r="S31" i="3"/>
  <c r="S32" i="3" s="1"/>
  <c r="AG7" i="3"/>
  <c r="AG11" i="3" s="1"/>
  <c r="AF19" i="3"/>
  <c r="AR23" i="3" l="1"/>
  <c r="AG10" i="6"/>
  <c r="AH7" i="6"/>
  <c r="R25" i="6"/>
  <c r="R26" i="6" s="1"/>
  <c r="S34" i="3"/>
  <c r="D57" i="3" s="1"/>
  <c r="T29" i="3"/>
  <c r="R18" i="3"/>
  <c r="R20" i="3" s="1"/>
  <c r="AH7" i="3"/>
  <c r="AH11" i="3" s="1"/>
  <c r="AG19" i="3"/>
  <c r="AS23" i="3" l="1"/>
  <c r="R22" i="3"/>
  <c r="R25" i="3" s="1"/>
  <c r="AH10" i="6"/>
  <c r="AI7" i="6"/>
  <c r="R28" i="6"/>
  <c r="S23" i="6"/>
  <c r="T31" i="3"/>
  <c r="T32" i="3" s="1"/>
  <c r="AI7" i="3"/>
  <c r="AI11" i="3" s="1"/>
  <c r="AH19" i="3"/>
  <c r="AT23" i="3" l="1"/>
  <c r="AI10" i="6"/>
  <c r="AJ7" i="6"/>
  <c r="S25" i="6"/>
  <c r="S26" i="6" s="1"/>
  <c r="T34" i="3"/>
  <c r="U29" i="3"/>
  <c r="S18" i="3"/>
  <c r="S20" i="3" s="1"/>
  <c r="AJ7" i="3"/>
  <c r="AJ11" i="3" s="1"/>
  <c r="AI19" i="3"/>
  <c r="AU23" i="3" l="1"/>
  <c r="S22" i="3"/>
  <c r="AJ10" i="6"/>
  <c r="AK7" i="6"/>
  <c r="S28" i="6"/>
  <c r="D47" i="6" s="1"/>
  <c r="D19" i="5" s="1"/>
  <c r="T23" i="6"/>
  <c r="U31" i="3"/>
  <c r="U32" i="3" s="1"/>
  <c r="AK7" i="3"/>
  <c r="AK11" i="3" s="1"/>
  <c r="AJ19" i="3"/>
  <c r="S25" i="3" l="1"/>
  <c r="D56" i="3" s="1"/>
  <c r="D60" i="3" s="1"/>
  <c r="D7" i="5" s="1"/>
  <c r="D8" i="5" s="1"/>
  <c r="D14" i="5" s="1"/>
  <c r="D15" i="5" s="1"/>
  <c r="AV23" i="3"/>
  <c r="AK10" i="6"/>
  <c r="AL7" i="6"/>
  <c r="T25" i="6"/>
  <c r="T26" i="6" s="1"/>
  <c r="U34" i="3"/>
  <c r="V29" i="3"/>
  <c r="T18" i="3"/>
  <c r="T20" i="3" s="1"/>
  <c r="AL7" i="3"/>
  <c r="AL11" i="3" s="1"/>
  <c r="AK19" i="3"/>
  <c r="AW23" i="3" l="1"/>
  <c r="T22" i="3"/>
  <c r="T25" i="3" s="1"/>
  <c r="AL10" i="6"/>
  <c r="AM7" i="6"/>
  <c r="T28" i="6"/>
  <c r="U23" i="6"/>
  <c r="D46" i="6"/>
  <c r="E46" i="6" s="1"/>
  <c r="F46" i="6" s="1"/>
  <c r="G46" i="6" s="1"/>
  <c r="H46" i="6" s="1"/>
  <c r="V31" i="3"/>
  <c r="V32" i="3" s="1"/>
  <c r="AM7" i="3"/>
  <c r="AM11" i="3" s="1"/>
  <c r="AL19" i="3"/>
  <c r="AX23" i="3" l="1"/>
  <c r="AM10" i="6"/>
  <c r="AN7" i="6"/>
  <c r="D51" i="6"/>
  <c r="D18" i="5"/>
  <c r="D23" i="5" s="1"/>
  <c r="U25" i="6"/>
  <c r="U26" i="6" s="1"/>
  <c r="V34" i="3"/>
  <c r="W29" i="3"/>
  <c r="U18" i="3"/>
  <c r="U20" i="3" s="1"/>
  <c r="AN7" i="3"/>
  <c r="AN11" i="3" s="1"/>
  <c r="AM19" i="3"/>
  <c r="AY23" i="3" l="1"/>
  <c r="U22" i="3"/>
  <c r="U25" i="3" s="1"/>
  <c r="AN10" i="6"/>
  <c r="AO7" i="6"/>
  <c r="D24" i="5"/>
  <c r="D28" i="5" s="1"/>
  <c r="D30" i="5" s="1"/>
  <c r="D33" i="5" s="1"/>
  <c r="E18" i="5"/>
  <c r="U28" i="6"/>
  <c r="V23" i="6"/>
  <c r="W31" i="3"/>
  <c r="W32" i="3" s="1"/>
  <c r="AO7" i="3"/>
  <c r="AO11" i="3" s="1"/>
  <c r="AN19" i="3"/>
  <c r="AZ23" i="3" l="1"/>
  <c r="D35" i="5"/>
  <c r="E22" i="13" s="1"/>
  <c r="AO10" i="6"/>
  <c r="AP7" i="6"/>
  <c r="F18" i="5"/>
  <c r="V25" i="6"/>
  <c r="V26" i="6" s="1"/>
  <c r="W34" i="3"/>
  <c r="X29" i="3"/>
  <c r="V18" i="3"/>
  <c r="V20" i="3" s="1"/>
  <c r="AP7" i="3"/>
  <c r="AP11" i="3" s="1"/>
  <c r="AO19" i="3"/>
  <c r="BA23" i="3" l="1"/>
  <c r="V22" i="3"/>
  <c r="V25" i="3" s="1"/>
  <c r="E29" i="10"/>
  <c r="E32" i="10" s="1"/>
  <c r="E35" i="10" s="1"/>
  <c r="E39" i="10" s="1"/>
  <c r="E42" i="10" s="1"/>
  <c r="E23" i="13"/>
  <c r="E34" i="13" s="1"/>
  <c r="D36" i="5"/>
  <c r="E9" i="12"/>
  <c r="AP10" i="6"/>
  <c r="AQ7" i="6"/>
  <c r="G18" i="5"/>
  <c r="H18" i="5"/>
  <c r="V28" i="6"/>
  <c r="W23" i="6"/>
  <c r="X31" i="3"/>
  <c r="X32" i="3" s="1"/>
  <c r="AQ7" i="3"/>
  <c r="AQ11" i="3" s="1"/>
  <c r="F55" i="3" s="1"/>
  <c r="AP19" i="3"/>
  <c r="BB23" i="3" l="1"/>
  <c r="AQ10" i="6"/>
  <c r="F45" i="6" s="1"/>
  <c r="F11" i="5" s="1"/>
  <c r="F12" i="5" s="1"/>
  <c r="AR7" i="6"/>
  <c r="W25" i="6"/>
  <c r="W26" i="6" s="1"/>
  <c r="X34" i="3"/>
  <c r="Y29" i="3"/>
  <c r="W18" i="3"/>
  <c r="W20" i="3" s="1"/>
  <c r="AR7" i="3"/>
  <c r="AR11" i="3" s="1"/>
  <c r="AQ19" i="3"/>
  <c r="BC23" i="3" l="1"/>
  <c r="W22" i="3"/>
  <c r="W25" i="3" s="1"/>
  <c r="AR10" i="6"/>
  <c r="AS7" i="6"/>
  <c r="W28" i="6"/>
  <c r="X23" i="6"/>
  <c r="Y31" i="3"/>
  <c r="Y32" i="3" s="1"/>
  <c r="AS7" i="3"/>
  <c r="AS11" i="3" s="1"/>
  <c r="AR19" i="3"/>
  <c r="BD23" i="3" l="1"/>
  <c r="AS10" i="6"/>
  <c r="AT7" i="6"/>
  <c r="X25" i="6"/>
  <c r="X26" i="6" s="1"/>
  <c r="Y34" i="3"/>
  <c r="Z29" i="3"/>
  <c r="X18" i="3"/>
  <c r="X20" i="3" s="1"/>
  <c r="AT7" i="3"/>
  <c r="AT11" i="3" s="1"/>
  <c r="AS19" i="3"/>
  <c r="BE23" i="3" l="1"/>
  <c r="X22" i="3"/>
  <c r="X25" i="3" s="1"/>
  <c r="AT10" i="6"/>
  <c r="AU7" i="6"/>
  <c r="Y23" i="6"/>
  <c r="X28" i="6"/>
  <c r="Z31" i="3"/>
  <c r="Z32" i="3" s="1"/>
  <c r="AU7" i="3"/>
  <c r="AU11" i="3" s="1"/>
  <c r="AT19" i="3"/>
  <c r="BF23" i="3" l="1"/>
  <c r="AU10" i="6"/>
  <c r="AV7" i="6"/>
  <c r="Y25" i="6"/>
  <c r="Y26" i="6" s="1"/>
  <c r="Z34" i="3"/>
  <c r="AA29" i="3"/>
  <c r="Y18" i="3"/>
  <c r="Y20" i="3" s="1"/>
  <c r="AV7" i="3"/>
  <c r="AV11" i="3" s="1"/>
  <c r="AU19" i="3"/>
  <c r="BG23" i="3" l="1"/>
  <c r="Y22" i="3"/>
  <c r="Y25" i="3" s="1"/>
  <c r="AV10" i="6"/>
  <c r="AW7" i="6"/>
  <c r="Y28" i="6"/>
  <c r="Z23" i="6"/>
  <c r="AA31" i="3"/>
  <c r="AA32" i="3" s="1"/>
  <c r="AW7" i="3"/>
  <c r="AW11" i="3" s="1"/>
  <c r="AV19" i="3"/>
  <c r="BH23" i="3" l="1"/>
  <c r="AW10" i="6"/>
  <c r="AX7" i="6"/>
  <c r="Z25" i="6"/>
  <c r="Z26" i="6" s="1"/>
  <c r="AA34" i="3"/>
  <c r="AB29" i="3"/>
  <c r="Z18" i="3"/>
  <c r="Z20" i="3" s="1"/>
  <c r="AX7" i="3"/>
  <c r="AX11" i="3" s="1"/>
  <c r="AW19" i="3"/>
  <c r="BI23" i="3" l="1"/>
  <c r="Z22" i="3"/>
  <c r="Z25" i="3" s="1"/>
  <c r="AX10" i="6"/>
  <c r="AY7" i="6"/>
  <c r="Z28" i="6"/>
  <c r="AA23" i="6"/>
  <c r="AB31" i="3"/>
  <c r="AB32" i="3" s="1"/>
  <c r="AY7" i="3"/>
  <c r="AY11" i="3" s="1"/>
  <c r="AX19" i="3"/>
  <c r="BJ23" i="3" l="1"/>
  <c r="AY10" i="6"/>
  <c r="AZ7" i="6"/>
  <c r="AA25" i="6"/>
  <c r="AA26" i="6" s="1"/>
  <c r="AB34" i="3"/>
  <c r="AC29" i="3"/>
  <c r="AA18" i="3"/>
  <c r="AA20" i="3" s="1"/>
  <c r="AZ7" i="3"/>
  <c r="AZ11" i="3" s="1"/>
  <c r="AY19" i="3"/>
  <c r="BK23" i="3" l="1"/>
  <c r="AA22" i="3"/>
  <c r="AA25" i="3" s="1"/>
  <c r="AZ10" i="6"/>
  <c r="BA7" i="6"/>
  <c r="AA28" i="6"/>
  <c r="AB23" i="6"/>
  <c r="AC31" i="3"/>
  <c r="AC32" i="3" s="1"/>
  <c r="BA7" i="3"/>
  <c r="BA11" i="3" s="1"/>
  <c r="AZ19" i="3"/>
  <c r="BL23" i="3" l="1"/>
  <c r="BA10" i="6"/>
  <c r="BB7" i="6"/>
  <c r="AB25" i="6"/>
  <c r="AB26" i="6" s="1"/>
  <c r="AC34" i="3"/>
  <c r="AD29" i="3"/>
  <c r="AB18" i="3"/>
  <c r="AB20" i="3" s="1"/>
  <c r="BB7" i="3"/>
  <c r="BB11" i="3" s="1"/>
  <c r="BA19" i="3"/>
  <c r="BM23" i="3" l="1"/>
  <c r="AB22" i="3"/>
  <c r="AB25" i="3" s="1"/>
  <c r="BB10" i="6"/>
  <c r="BC7" i="6"/>
  <c r="AC23" i="6"/>
  <c r="AB28" i="6"/>
  <c r="AD31" i="3"/>
  <c r="AD32" i="3" s="1"/>
  <c r="BC7" i="3"/>
  <c r="BC11" i="3" s="1"/>
  <c r="G55" i="3" s="1"/>
  <c r="BB19" i="3"/>
  <c r="BN23" i="3" l="1"/>
  <c r="BC10" i="6"/>
  <c r="G45" i="6" s="1"/>
  <c r="G11" i="5" s="1"/>
  <c r="G12" i="5" s="1"/>
  <c r="BD7" i="6"/>
  <c r="AC25" i="6"/>
  <c r="AC26" i="6" s="1"/>
  <c r="AD34" i="3"/>
  <c r="AE29" i="3"/>
  <c r="AC18" i="3"/>
  <c r="AC20" i="3" s="1"/>
  <c r="BD7" i="3"/>
  <c r="BD11" i="3" s="1"/>
  <c r="BC19" i="3"/>
  <c r="BO23" i="3" l="1"/>
  <c r="AC22" i="3"/>
  <c r="AC25" i="3" s="1"/>
  <c r="BD10" i="6"/>
  <c r="BE7" i="6"/>
  <c r="AC28" i="6"/>
  <c r="AD23" i="6"/>
  <c r="AE31" i="3"/>
  <c r="AE32" i="3" s="1"/>
  <c r="BE7" i="3"/>
  <c r="BE11" i="3" s="1"/>
  <c r="BD19" i="3"/>
  <c r="BP23" i="3" l="1"/>
  <c r="BE10" i="6"/>
  <c r="BF7" i="6"/>
  <c r="AD25" i="6"/>
  <c r="AD26" i="6" s="1"/>
  <c r="AE34" i="3"/>
  <c r="E57" i="3" s="1"/>
  <c r="AF29" i="3"/>
  <c r="AD18" i="3"/>
  <c r="AD20" i="3" s="1"/>
  <c r="BF7" i="3"/>
  <c r="BF11" i="3" s="1"/>
  <c r="BE19" i="3"/>
  <c r="AD22" i="3" l="1"/>
  <c r="AD25" i="3" s="1"/>
  <c r="BF10" i="6"/>
  <c r="BG7" i="6"/>
  <c r="AD28" i="6"/>
  <c r="AE23" i="6"/>
  <c r="AF31" i="3"/>
  <c r="AF32" i="3" s="1"/>
  <c r="BG7" i="3"/>
  <c r="BG11" i="3" s="1"/>
  <c r="BF19" i="3"/>
  <c r="BG10" i="6" l="1"/>
  <c r="BH7" i="6"/>
  <c r="AE25" i="6"/>
  <c r="AE26" i="6" s="1"/>
  <c r="AF34" i="3"/>
  <c r="AG29" i="3"/>
  <c r="AE18" i="3"/>
  <c r="AE20" i="3" s="1"/>
  <c r="BH7" i="3"/>
  <c r="BH11" i="3" s="1"/>
  <c r="BG19" i="3"/>
  <c r="AE22" i="3" l="1"/>
  <c r="BH10" i="6"/>
  <c r="BI7" i="6"/>
  <c r="AE28" i="6"/>
  <c r="E47" i="6" s="1"/>
  <c r="E19" i="5" s="1"/>
  <c r="E23" i="5" s="1"/>
  <c r="AF23" i="6"/>
  <c r="AG31" i="3"/>
  <c r="AG32" i="3" s="1"/>
  <c r="BI7" i="3"/>
  <c r="BI11" i="3" s="1"/>
  <c r="BH19" i="3"/>
  <c r="AE25" i="3" l="1"/>
  <c r="E56" i="3" s="1"/>
  <c r="E60" i="3" s="1"/>
  <c r="E7" i="5" s="1"/>
  <c r="E8" i="5" s="1"/>
  <c r="E14" i="5" s="1"/>
  <c r="BI10" i="6"/>
  <c r="BJ7" i="6"/>
  <c r="AF25" i="6"/>
  <c r="AF26" i="6" s="1"/>
  <c r="AG34" i="3"/>
  <c r="AH29" i="3"/>
  <c r="AF18" i="3"/>
  <c r="AF20" i="3" s="1"/>
  <c r="BJ7" i="3"/>
  <c r="BJ11" i="3" s="1"/>
  <c r="BI19" i="3"/>
  <c r="E15" i="5" l="1"/>
  <c r="E24" i="5"/>
  <c r="E28" i="5" s="1"/>
  <c r="E30" i="5" s="1"/>
  <c r="E33" i="5" s="1"/>
  <c r="E35" i="5" s="1"/>
  <c r="F22" i="13" s="1"/>
  <c r="AF22" i="3"/>
  <c r="AF25" i="3" s="1"/>
  <c r="BJ10" i="6"/>
  <c r="BK7" i="6"/>
  <c r="E51" i="6"/>
  <c r="AF28" i="6"/>
  <c r="AG23" i="6"/>
  <c r="AH31" i="3"/>
  <c r="AH32" i="3" s="1"/>
  <c r="BK7" i="3"/>
  <c r="BK11" i="3" s="1"/>
  <c r="BJ19" i="3"/>
  <c r="F23" i="13" l="1"/>
  <c r="F34" i="13" s="1"/>
  <c r="F29" i="10"/>
  <c r="F32" i="10" s="1"/>
  <c r="F35" i="10" s="1"/>
  <c r="F39" i="10" s="1"/>
  <c r="F42" i="10" s="1"/>
  <c r="F9" i="12"/>
  <c r="F14" i="12" s="1"/>
  <c r="F26" i="12" s="1"/>
  <c r="E36" i="5"/>
  <c r="BK10" i="6"/>
  <c r="BL7" i="6"/>
  <c r="AG25" i="6"/>
  <c r="AG26" i="6" s="1"/>
  <c r="AH34" i="3"/>
  <c r="AI29" i="3"/>
  <c r="AG18" i="3"/>
  <c r="AG20" i="3" s="1"/>
  <c r="BL7" i="3"/>
  <c r="BL11" i="3" s="1"/>
  <c r="BK19" i="3"/>
  <c r="AG22" i="3" l="1"/>
  <c r="AG25" i="3" s="1"/>
  <c r="BL10" i="6"/>
  <c r="BM7" i="6"/>
  <c r="AG28" i="6"/>
  <c r="AH23" i="6"/>
  <c r="AI31" i="3"/>
  <c r="AI32" i="3" s="1"/>
  <c r="BM7" i="3"/>
  <c r="BM11" i="3" s="1"/>
  <c r="BL19" i="3"/>
  <c r="BM10" i="6" l="1"/>
  <c r="BN7" i="6"/>
  <c r="AH25" i="6"/>
  <c r="AH26" i="6" s="1"/>
  <c r="AI34" i="3"/>
  <c r="AJ29" i="3"/>
  <c r="AH18" i="3"/>
  <c r="AH20" i="3" s="1"/>
  <c r="BN7" i="3"/>
  <c r="BN11" i="3" s="1"/>
  <c r="BM19" i="3"/>
  <c r="AH22" i="3" l="1"/>
  <c r="AH25" i="3" s="1"/>
  <c r="BN10" i="6"/>
  <c r="BO7" i="6"/>
  <c r="AH28" i="6"/>
  <c r="AI23" i="6"/>
  <c r="AJ31" i="3"/>
  <c r="AJ32" i="3" s="1"/>
  <c r="BO7" i="3"/>
  <c r="BO11" i="3" s="1"/>
  <c r="H55" i="3" s="1"/>
  <c r="BN19" i="3"/>
  <c r="BO10" i="6" l="1"/>
  <c r="H45" i="6" s="1"/>
  <c r="H11" i="5" s="1"/>
  <c r="H12" i="5" s="1"/>
  <c r="BP7" i="6"/>
  <c r="BP10" i="6" s="1"/>
  <c r="AI25" i="6"/>
  <c r="AI26" i="6" s="1"/>
  <c r="AJ34" i="3"/>
  <c r="AK29" i="3"/>
  <c r="AI18" i="3"/>
  <c r="AI20" i="3" s="1"/>
  <c r="BP7" i="3"/>
  <c r="BO19" i="3"/>
  <c r="AI22" i="3" l="1"/>
  <c r="AI25" i="3" s="1"/>
  <c r="AI28" i="6"/>
  <c r="AJ23" i="6"/>
  <c r="BP19" i="3"/>
  <c r="BP11" i="3"/>
  <c r="AK31" i="3"/>
  <c r="AK32" i="3" s="1"/>
  <c r="AJ25" i="6" l="1"/>
  <c r="AJ26" i="6" s="1"/>
  <c r="AK34" i="3"/>
  <c r="AL29" i="3"/>
  <c r="AJ18" i="3"/>
  <c r="AJ20" i="3" s="1"/>
  <c r="AJ22" i="3" l="1"/>
  <c r="AJ25" i="3" s="1"/>
  <c r="AJ28" i="6"/>
  <c r="AK23" i="6"/>
  <c r="AL31" i="3"/>
  <c r="AL32" i="3" s="1"/>
  <c r="AK25" i="6" l="1"/>
  <c r="AK26" i="6" s="1"/>
  <c r="AL34" i="3"/>
  <c r="AM29" i="3"/>
  <c r="AK18" i="3"/>
  <c r="AK20" i="3" s="1"/>
  <c r="AK22" i="3" l="1"/>
  <c r="AK25" i="3" s="1"/>
  <c r="AK28" i="6"/>
  <c r="AL23" i="6"/>
  <c r="AM31" i="3"/>
  <c r="AM32" i="3" s="1"/>
  <c r="AL25" i="6" l="1"/>
  <c r="AL26" i="6" s="1"/>
  <c r="AM34" i="3"/>
  <c r="AN29" i="3"/>
  <c r="AL18" i="3"/>
  <c r="AL20" i="3" s="1"/>
  <c r="AL22" i="3" l="1"/>
  <c r="AL25" i="3" s="1"/>
  <c r="AL28" i="6"/>
  <c r="AM23" i="6"/>
  <c r="AN31" i="3"/>
  <c r="AN32" i="3" s="1"/>
  <c r="AM25" i="6" l="1"/>
  <c r="AM26" i="6" s="1"/>
  <c r="AN34" i="3"/>
  <c r="AO29" i="3"/>
  <c r="AM18" i="3"/>
  <c r="AM20" i="3" s="1"/>
  <c r="AM22" i="3" l="1"/>
  <c r="AM25" i="3" s="1"/>
  <c r="AM28" i="6"/>
  <c r="AN23" i="6"/>
  <c r="AO31" i="3"/>
  <c r="AO32" i="3" s="1"/>
  <c r="AN25" i="6" l="1"/>
  <c r="AN26" i="6" s="1"/>
  <c r="AO34" i="3"/>
  <c r="AP29" i="3"/>
  <c r="AN18" i="3"/>
  <c r="AN20" i="3" s="1"/>
  <c r="AN22" i="3" l="1"/>
  <c r="AN25" i="3" s="1"/>
  <c r="AN28" i="6"/>
  <c r="AO23" i="6"/>
  <c r="AP31" i="3"/>
  <c r="AP32" i="3" s="1"/>
  <c r="AO25" i="6" l="1"/>
  <c r="AO26" i="6" s="1"/>
  <c r="AP34" i="3"/>
  <c r="AQ29" i="3"/>
  <c r="AO18" i="3"/>
  <c r="AO20" i="3" s="1"/>
  <c r="AO22" i="3" l="1"/>
  <c r="AO25" i="3" s="1"/>
  <c r="AO28" i="6"/>
  <c r="AP23" i="6"/>
  <c r="AQ31" i="3"/>
  <c r="AQ32" i="3" s="1"/>
  <c r="AP25" i="6" l="1"/>
  <c r="AP26" i="6" s="1"/>
  <c r="AQ34" i="3"/>
  <c r="F57" i="3" s="1"/>
  <c r="AR29" i="3"/>
  <c r="AP18" i="3"/>
  <c r="AP20" i="3" s="1"/>
  <c r="AP22" i="3" l="1"/>
  <c r="AP25" i="3" s="1"/>
  <c r="AP28" i="6"/>
  <c r="AQ23" i="6"/>
  <c r="AR31" i="3"/>
  <c r="AR32" i="3" s="1"/>
  <c r="AQ25" i="6" l="1"/>
  <c r="AQ26" i="6" s="1"/>
  <c r="AR34" i="3"/>
  <c r="AS29" i="3"/>
  <c r="AQ18" i="3"/>
  <c r="AQ20" i="3" s="1"/>
  <c r="AQ22" i="3" l="1"/>
  <c r="AQ28" i="6"/>
  <c r="F47" i="6" s="1"/>
  <c r="F19" i="5" s="1"/>
  <c r="F23" i="5" s="1"/>
  <c r="AR23" i="6"/>
  <c r="AS31" i="3"/>
  <c r="AS32" i="3" s="1"/>
  <c r="AQ25" i="3" l="1"/>
  <c r="F56" i="3" s="1"/>
  <c r="F60" i="3" s="1"/>
  <c r="F7" i="5" s="1"/>
  <c r="F8" i="5" s="1"/>
  <c r="F14" i="5" s="1"/>
  <c r="AR25" i="6"/>
  <c r="AR26" i="6" s="1"/>
  <c r="AS34" i="3"/>
  <c r="AT29" i="3"/>
  <c r="AR18" i="3"/>
  <c r="AR20" i="3" s="1"/>
  <c r="F24" i="5" l="1"/>
  <c r="F28" i="5" s="1"/>
  <c r="F30" i="5" s="1"/>
  <c r="F33" i="5" s="1"/>
  <c r="F35" i="5" s="1"/>
  <c r="G22" i="13" s="1"/>
  <c r="F15" i="5"/>
  <c r="AR22" i="3"/>
  <c r="AR25" i="3" s="1"/>
  <c r="F51" i="6"/>
  <c r="AR28" i="6"/>
  <c r="AS23" i="6"/>
  <c r="AT31" i="3"/>
  <c r="AT32" i="3" s="1"/>
  <c r="G29" i="10" l="1"/>
  <c r="G32" i="10" s="1"/>
  <c r="G35" i="10" s="1"/>
  <c r="G39" i="10" s="1"/>
  <c r="G42" i="10" s="1"/>
  <c r="F36" i="5"/>
  <c r="G9" i="12"/>
  <c r="G14" i="12" s="1"/>
  <c r="G26" i="12" s="1"/>
  <c r="G23" i="13"/>
  <c r="G34" i="13" s="1"/>
  <c r="AS25" i="6"/>
  <c r="AS26" i="6" s="1"/>
  <c r="AT34" i="3"/>
  <c r="AU29" i="3"/>
  <c r="AS18" i="3"/>
  <c r="AS20" i="3" s="1"/>
  <c r="AS22" i="3" l="1"/>
  <c r="AS25" i="3" s="1"/>
  <c r="AS28" i="6"/>
  <c r="AT23" i="6"/>
  <c r="AU31" i="3"/>
  <c r="AU32" i="3" s="1"/>
  <c r="AT25" i="6" l="1"/>
  <c r="AT26" i="6" s="1"/>
  <c r="AU34" i="3"/>
  <c r="AV29" i="3"/>
  <c r="AT18" i="3"/>
  <c r="AT20" i="3" s="1"/>
  <c r="AT22" i="3" l="1"/>
  <c r="AT25" i="3" s="1"/>
  <c r="AT28" i="6"/>
  <c r="AU23" i="6"/>
  <c r="AV31" i="3"/>
  <c r="AV32" i="3" s="1"/>
  <c r="AU25" i="6" l="1"/>
  <c r="AU26" i="6" s="1"/>
  <c r="AV34" i="3"/>
  <c r="AW29" i="3"/>
  <c r="AU18" i="3"/>
  <c r="AU20" i="3" s="1"/>
  <c r="AU22" i="3" l="1"/>
  <c r="AU25" i="3" s="1"/>
  <c r="AU28" i="6"/>
  <c r="AV23" i="6"/>
  <c r="AW31" i="3"/>
  <c r="AW32" i="3" s="1"/>
  <c r="AV25" i="6" l="1"/>
  <c r="AV26" i="6" s="1"/>
  <c r="AW34" i="3"/>
  <c r="AX29" i="3"/>
  <c r="AV18" i="3"/>
  <c r="AV20" i="3" s="1"/>
  <c r="AV22" i="3" l="1"/>
  <c r="AV25" i="3" s="1"/>
  <c r="AW23" i="6"/>
  <c r="AV28" i="6"/>
  <c r="AX31" i="3"/>
  <c r="AX32" i="3" s="1"/>
  <c r="AW25" i="6" l="1"/>
  <c r="AW26" i="6" s="1"/>
  <c r="AX34" i="3"/>
  <c r="AY29" i="3"/>
  <c r="AW18" i="3"/>
  <c r="AW20" i="3" s="1"/>
  <c r="AW22" i="3" l="1"/>
  <c r="AW25" i="3" s="1"/>
  <c r="AW28" i="6"/>
  <c r="AX23" i="6"/>
  <c r="AY31" i="3"/>
  <c r="AY32" i="3" s="1"/>
  <c r="AX25" i="6" l="1"/>
  <c r="AX26" i="6" s="1"/>
  <c r="AY34" i="3"/>
  <c r="AZ29" i="3"/>
  <c r="AX18" i="3"/>
  <c r="AX20" i="3" s="1"/>
  <c r="AX22" i="3" l="1"/>
  <c r="AX25" i="3" s="1"/>
  <c r="AX28" i="6"/>
  <c r="AY23" i="6"/>
  <c r="AZ31" i="3"/>
  <c r="AZ32" i="3" s="1"/>
  <c r="AY25" i="6" l="1"/>
  <c r="AY26" i="6" s="1"/>
  <c r="AZ34" i="3"/>
  <c r="BA29" i="3"/>
  <c r="AY18" i="3"/>
  <c r="AY20" i="3" s="1"/>
  <c r="AY22" i="3" l="1"/>
  <c r="AY25" i="3" s="1"/>
  <c r="AY28" i="6"/>
  <c r="AZ23" i="6"/>
  <c r="BA31" i="3"/>
  <c r="BA32" i="3" s="1"/>
  <c r="AZ25" i="6" l="1"/>
  <c r="AZ26" i="6" s="1"/>
  <c r="BA34" i="3"/>
  <c r="BB29" i="3"/>
  <c r="AZ18" i="3"/>
  <c r="AZ20" i="3" s="1"/>
  <c r="AZ22" i="3" l="1"/>
  <c r="AZ25" i="3" s="1"/>
  <c r="AZ28" i="6"/>
  <c r="BA23" i="6"/>
  <c r="BB31" i="3"/>
  <c r="BB32" i="3" s="1"/>
  <c r="BA25" i="6" l="1"/>
  <c r="BA26" i="6" s="1"/>
  <c r="BB34" i="3"/>
  <c r="BC29" i="3"/>
  <c r="BA18" i="3"/>
  <c r="BA20" i="3" s="1"/>
  <c r="BA22" i="3" l="1"/>
  <c r="BA25" i="3" s="1"/>
  <c r="BA28" i="6"/>
  <c r="BB23" i="6"/>
  <c r="BC31" i="3"/>
  <c r="BC32" i="3" s="1"/>
  <c r="BB25" i="6" l="1"/>
  <c r="BB26" i="6" s="1"/>
  <c r="BC34" i="3"/>
  <c r="G57" i="3" s="1"/>
  <c r="BD29" i="3"/>
  <c r="BB18" i="3"/>
  <c r="BB20" i="3" s="1"/>
  <c r="BB22" i="3" l="1"/>
  <c r="BB25" i="3" s="1"/>
  <c r="BB28" i="6"/>
  <c r="BC23" i="6"/>
  <c r="BD31" i="3"/>
  <c r="BD32" i="3" s="1"/>
  <c r="BC25" i="6" l="1"/>
  <c r="BC26" i="6" s="1"/>
  <c r="BD34" i="3"/>
  <c r="BE29" i="3"/>
  <c r="BC18" i="3"/>
  <c r="BC20" i="3" s="1"/>
  <c r="BC22" i="3" l="1"/>
  <c r="BC28" i="6"/>
  <c r="G47" i="6" s="1"/>
  <c r="G19" i="5" s="1"/>
  <c r="G23" i="5" s="1"/>
  <c r="BD23" i="6"/>
  <c r="BE31" i="3"/>
  <c r="BE32" i="3" s="1"/>
  <c r="BC25" i="3" l="1"/>
  <c r="G56" i="3" s="1"/>
  <c r="G60" i="3" s="1"/>
  <c r="G7" i="5" s="1"/>
  <c r="G8" i="5" s="1"/>
  <c r="G14" i="5" s="1"/>
  <c r="BD25" i="6"/>
  <c r="BD26" i="6" s="1"/>
  <c r="BE34" i="3"/>
  <c r="BF29" i="3"/>
  <c r="BD18" i="3"/>
  <c r="BD20" i="3" s="1"/>
  <c r="G24" i="5" l="1"/>
  <c r="G28" i="5" s="1"/>
  <c r="G30" i="5" s="1"/>
  <c r="G33" i="5" s="1"/>
  <c r="G35" i="5" s="1"/>
  <c r="H22" i="13" s="1"/>
  <c r="G15" i="5"/>
  <c r="BD22" i="3"/>
  <c r="BD25" i="3" s="1"/>
  <c r="G51" i="6"/>
  <c r="BE23" i="6"/>
  <c r="BD28" i="6"/>
  <c r="BF31" i="3"/>
  <c r="BF32" i="3" s="1"/>
  <c r="H9" i="12" l="1"/>
  <c r="H14" i="12" s="1"/>
  <c r="H26" i="12" s="1"/>
  <c r="H29" i="10"/>
  <c r="H32" i="10" s="1"/>
  <c r="H35" i="10" s="1"/>
  <c r="H39" i="10" s="1"/>
  <c r="H42" i="10" s="1"/>
  <c r="G36" i="5"/>
  <c r="H23" i="13"/>
  <c r="H34" i="13" s="1"/>
  <c r="BE25" i="6"/>
  <c r="BE26" i="6" s="1"/>
  <c r="BF34" i="3"/>
  <c r="BG29" i="3"/>
  <c r="BE18" i="3"/>
  <c r="BE20" i="3" s="1"/>
  <c r="BE22" i="3" l="1"/>
  <c r="BE25" i="3" s="1"/>
  <c r="BE28" i="6"/>
  <c r="BF23" i="6"/>
  <c r="BG31" i="3"/>
  <c r="BG32" i="3" s="1"/>
  <c r="BF25" i="6" l="1"/>
  <c r="BF26" i="6" s="1"/>
  <c r="BG34" i="3"/>
  <c r="BH29" i="3"/>
  <c r="BF18" i="3"/>
  <c r="BF20" i="3" s="1"/>
  <c r="BF22" i="3" l="1"/>
  <c r="BF25" i="3" s="1"/>
  <c r="BF28" i="6"/>
  <c r="BG23" i="6"/>
  <c r="BH31" i="3"/>
  <c r="BH32" i="3" s="1"/>
  <c r="BG25" i="6" l="1"/>
  <c r="BG26" i="6" s="1"/>
  <c r="BH34" i="3"/>
  <c r="BI29" i="3"/>
  <c r="BG18" i="3"/>
  <c r="BG20" i="3" s="1"/>
  <c r="BG22" i="3" l="1"/>
  <c r="BG25" i="3" s="1"/>
  <c r="BG28" i="6"/>
  <c r="BH23" i="6"/>
  <c r="BI31" i="3"/>
  <c r="BI32" i="3" s="1"/>
  <c r="BH25" i="6" l="1"/>
  <c r="BH26" i="6" s="1"/>
  <c r="BI34" i="3"/>
  <c r="BJ29" i="3"/>
  <c r="BH18" i="3"/>
  <c r="BH20" i="3" s="1"/>
  <c r="BH22" i="3" l="1"/>
  <c r="BH25" i="3" s="1"/>
  <c r="BH28" i="6"/>
  <c r="BI23" i="6"/>
  <c r="BJ31" i="3"/>
  <c r="BJ32" i="3" s="1"/>
  <c r="BI25" i="6" l="1"/>
  <c r="BI26" i="6" s="1"/>
  <c r="BJ34" i="3"/>
  <c r="BK29" i="3"/>
  <c r="BI18" i="3"/>
  <c r="BI20" i="3" s="1"/>
  <c r="BI22" i="3" l="1"/>
  <c r="BI25" i="3" s="1"/>
  <c r="BI28" i="6"/>
  <c r="BJ23" i="6"/>
  <c r="BK31" i="3"/>
  <c r="BK32" i="3" s="1"/>
  <c r="BJ25" i="6" l="1"/>
  <c r="BJ26" i="6" s="1"/>
  <c r="BK34" i="3"/>
  <c r="BL29" i="3"/>
  <c r="BJ18" i="3"/>
  <c r="BJ20" i="3" s="1"/>
  <c r="BJ22" i="3" l="1"/>
  <c r="BJ25" i="3" s="1"/>
  <c r="BJ28" i="6"/>
  <c r="BK23" i="6"/>
  <c r="BL31" i="3"/>
  <c r="BL32" i="3" s="1"/>
  <c r="BK25" i="6" l="1"/>
  <c r="BK26" i="6" s="1"/>
  <c r="BL34" i="3"/>
  <c r="BM29" i="3"/>
  <c r="BK18" i="3"/>
  <c r="BK20" i="3" s="1"/>
  <c r="BK22" i="3" l="1"/>
  <c r="BK25" i="3" s="1"/>
  <c r="BK28" i="6"/>
  <c r="BL23" i="6"/>
  <c r="BM31" i="3"/>
  <c r="BM32" i="3" s="1"/>
  <c r="BL25" i="6" l="1"/>
  <c r="BL26" i="6" s="1"/>
  <c r="BM34" i="3"/>
  <c r="BN29" i="3"/>
  <c r="BL18" i="3"/>
  <c r="BL20" i="3" s="1"/>
  <c r="BL22" i="3" l="1"/>
  <c r="BL25" i="3" s="1"/>
  <c r="BL28" i="6"/>
  <c r="BM23" i="6"/>
  <c r="BN31" i="3"/>
  <c r="BN32" i="3" s="1"/>
  <c r="BM25" i="6" l="1"/>
  <c r="BM26" i="6" s="1"/>
  <c r="BN34" i="3"/>
  <c r="BO29" i="3"/>
  <c r="BM18" i="3"/>
  <c r="BM20" i="3" s="1"/>
  <c r="BM22" i="3" l="1"/>
  <c r="BM25" i="3" s="1"/>
  <c r="BM28" i="6"/>
  <c r="BN23" i="6"/>
  <c r="BO31" i="3"/>
  <c r="BO32" i="3" s="1"/>
  <c r="BN25" i="6" l="1"/>
  <c r="BN26" i="6" s="1"/>
  <c r="BO34" i="3"/>
  <c r="H57" i="3" s="1"/>
  <c r="BP29" i="3"/>
  <c r="BN18" i="3"/>
  <c r="BN20" i="3" s="1"/>
  <c r="BN22" i="3" l="1"/>
  <c r="BN25" i="3" s="1"/>
  <c r="BN28" i="6"/>
  <c r="BO23" i="6"/>
  <c r="BP31" i="3"/>
  <c r="BP32" i="3" s="1"/>
  <c r="BP34" i="3" s="1"/>
  <c r="BO25" i="6" l="1"/>
  <c r="BO26" i="6" s="1"/>
  <c r="BO18" i="3"/>
  <c r="BO20" i="3" s="1"/>
  <c r="BO22" i="3" l="1"/>
  <c r="BO28" i="6"/>
  <c r="H47" i="6" s="1"/>
  <c r="H19" i="5" s="1"/>
  <c r="H23" i="5" s="1"/>
  <c r="BP23" i="6"/>
  <c r="BO25" i="3" l="1"/>
  <c r="H56" i="3" s="1"/>
  <c r="H60" i="3" s="1"/>
  <c r="H7" i="5" s="1"/>
  <c r="H8" i="5" s="1"/>
  <c r="H14" i="5" s="1"/>
  <c r="BP25" i="6"/>
  <c r="BP26" i="6" s="1"/>
  <c r="BP28" i="6" s="1"/>
  <c r="BP18" i="3"/>
  <c r="BP20" i="3" s="1"/>
  <c r="H15" i="5" l="1"/>
  <c r="H24" i="5"/>
  <c r="H28" i="5" s="1"/>
  <c r="H30" i="5" s="1"/>
  <c r="H33" i="5" s="1"/>
  <c r="H35" i="5" s="1"/>
  <c r="BP22" i="3"/>
  <c r="BP25" i="3" s="1"/>
  <c r="H51" i="6"/>
  <c r="I29" i="10" l="1"/>
  <c r="I32" i="10" s="1"/>
  <c r="I35" i="10" s="1"/>
  <c r="I39" i="10" s="1"/>
  <c r="I41" i="10" s="1"/>
  <c r="H36" i="5"/>
  <c r="I22" i="13"/>
  <c r="I23" i="13" s="1"/>
  <c r="I34" i="13" s="1"/>
  <c r="I9" i="12"/>
  <c r="I14" i="12" s="1"/>
  <c r="I26" i="12" s="1"/>
  <c r="E14" i="12"/>
  <c r="E26" i="12" s="1"/>
  <c r="E28" i="12" s="1"/>
  <c r="I42" i="10" l="1"/>
  <c r="E47" i="10" s="1"/>
  <c r="E15" i="13"/>
  <c r="E16" i="13" s="1"/>
  <c r="E18" i="13" s="1"/>
  <c r="E35" i="13" s="1"/>
  <c r="F27" i="12"/>
  <c r="F28" i="12" s="1"/>
  <c r="E19" i="13" l="1"/>
  <c r="I1" i="1"/>
  <c r="E50" i="10"/>
  <c r="E53" i="10" s="1"/>
  <c r="F15" i="13"/>
  <c r="F16" i="13" s="1"/>
  <c r="F18" i="13" s="1"/>
  <c r="F35" i="13" s="1"/>
  <c r="G27" i="12"/>
  <c r="G28" i="12" s="1"/>
  <c r="F19" i="13" l="1"/>
  <c r="J1" i="1"/>
  <c r="H27" i="12"/>
  <c r="H28" i="12" s="1"/>
  <c r="G15" i="13"/>
  <c r="G16" i="13" s="1"/>
  <c r="G18" i="13" s="1"/>
  <c r="G35" i="13" s="1"/>
  <c r="G19" i="13" l="1"/>
  <c r="K1" i="1"/>
  <c r="H15" i="13"/>
  <c r="H16" i="13" s="1"/>
  <c r="H18" i="13" s="1"/>
  <c r="H35" i="13" s="1"/>
  <c r="I27" i="12"/>
  <c r="I28" i="12" s="1"/>
  <c r="I15" i="13" s="1"/>
  <c r="I16" i="13" s="1"/>
  <c r="I18" i="13" s="1"/>
  <c r="I35" i="13" s="1"/>
  <c r="H19" i="13" l="1"/>
  <c r="L1" i="1"/>
  <c r="I19" i="13"/>
  <c r="M1" i="1"/>
</calcChain>
</file>

<file path=xl/sharedStrings.xml><?xml version="1.0" encoding="utf-8"?>
<sst xmlns="http://schemas.openxmlformats.org/spreadsheetml/2006/main" count="594" uniqueCount="362">
  <si>
    <t xml:space="preserve">FINANCIAL MODEL AND VALUATION </t>
  </si>
  <si>
    <t>Product/Service Revenue &amp; Expense Assumptions</t>
  </si>
  <si>
    <t>Revenues</t>
  </si>
  <si>
    <t>Average price per card</t>
  </si>
  <si>
    <t>Expected annual growth rate in your price</t>
  </si>
  <si>
    <t>Direct cost per card sold</t>
  </si>
  <si>
    <t>Salaries</t>
  </si>
  <si>
    <t>Expected annual growth rate</t>
  </si>
  <si>
    <t>Marketing Expenses</t>
  </si>
  <si>
    <t>Initial Marketing Expense</t>
  </si>
  <si>
    <t>Annual growth rate in marketing expenses</t>
  </si>
  <si>
    <t>Rent</t>
  </si>
  <si>
    <t>Expected Annual growth rate in Rent</t>
  </si>
  <si>
    <t>Other Expenses</t>
  </si>
  <si>
    <t>Insurance</t>
  </si>
  <si>
    <t>Hosting and general online services</t>
  </si>
  <si>
    <t>Capital Expenditures</t>
  </si>
  <si>
    <t>Capital Expenditures Year 1</t>
  </si>
  <si>
    <t>Financing Options</t>
  </si>
  <si>
    <t>% of Capital needed financed by Debt</t>
  </si>
  <si>
    <t>% of Capital needed financed by Equity</t>
  </si>
  <si>
    <t>Revenue Assumptions</t>
  </si>
  <si>
    <t>Expected average annual growth rate in our per card cost</t>
  </si>
  <si>
    <t>Initial Annual Rent</t>
  </si>
  <si>
    <t>Insurance growth rate</t>
  </si>
  <si>
    <t>Other Staff Costs and Benefits</t>
  </si>
  <si>
    <t>Income Tax rate</t>
  </si>
  <si>
    <t>Interest Rate</t>
  </si>
  <si>
    <t xml:space="preserve">P </t>
  </si>
  <si>
    <t>Proj FY</t>
  </si>
  <si>
    <t>Actual</t>
  </si>
  <si>
    <t>Average number of cards sold per month (2019)</t>
  </si>
  <si>
    <t>Annual Growth Rate</t>
  </si>
  <si>
    <t>Revenue from Card Sales</t>
  </si>
  <si>
    <t>Revenue from card sales</t>
  </si>
  <si>
    <t>New Card Sales</t>
  </si>
  <si>
    <t>Monthly Service Fee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</si>
  <si>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</si>
  <si>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</si>
  <si>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</si>
  <si>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</si>
  <si>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</si>
  <si>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</si>
  <si>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</si>
  <si>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</si>
  <si>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</si>
  <si>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</si>
  <si>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</si>
  <si>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</si>
  <si>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</si>
  <si>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</si>
  <si>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</si>
  <si>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</si>
  <si>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</si>
  <si>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</si>
  <si>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</si>
  <si>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</si>
  <si>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</si>
  <si>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</si>
  <si>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</si>
  <si>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</si>
  <si>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</si>
  <si>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</si>
  <si>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</si>
  <si>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</si>
  <si>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</si>
  <si>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</si>
  <si>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</si>
  <si>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</si>
  <si>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</si>
  <si>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</si>
  <si>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</si>
  <si>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</si>
  <si>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</si>
  <si>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</si>
  <si>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</si>
  <si>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</si>
  <si>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</si>
  <si>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</si>
  <si>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</si>
  <si>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</si>
  <si>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</si>
  <si>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</si>
  <si>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</si>
  <si>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</si>
  <si>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</si>
  <si>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</si>
  <si>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</si>
  <si>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</si>
  <si>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</si>
  <si>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</si>
  <si>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</si>
  <si>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</si>
  <si>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</si>
  <si>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</si>
  <si>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</si>
  <si>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</si>
  <si>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Expected monthly sales growth rate</t>
  </si>
  <si>
    <t>Unit Sales Forcast (new cards)</t>
  </si>
  <si>
    <t>Card Churn (Loss Rate)</t>
  </si>
  <si>
    <t>Monthly Price</t>
  </si>
  <si>
    <t>Co-branded cards Monthly Growth</t>
  </si>
  <si>
    <t>Card Load Fee via AutoPay</t>
  </si>
  <si>
    <t>Bill Payment and Fund TRANSFER</t>
  </si>
  <si>
    <t>Average monthly revenue per user</t>
  </si>
  <si>
    <t>Download Monthly Growth</t>
  </si>
  <si>
    <t>Uninstall apps (Loss Rate)</t>
  </si>
  <si>
    <t># of Existing cards in circulation</t>
  </si>
  <si>
    <t>New cards</t>
  </si>
  <si>
    <t>Lost or domant cards</t>
  </si>
  <si>
    <t>Opening</t>
  </si>
  <si>
    <t>Closing (Total Billable Members)</t>
  </si>
  <si>
    <t>Revenues (Service fee)</t>
  </si>
  <si>
    <t>Lost Members</t>
  </si>
  <si>
    <t>Opening(Existing co-branded cards)</t>
  </si>
  <si>
    <t>Closing(Total Billable Members)</t>
  </si>
  <si>
    <t>Number of Existing Downloads</t>
  </si>
  <si>
    <t>New Downloads</t>
  </si>
  <si>
    <t>Total Downloads</t>
  </si>
  <si>
    <t>Average monthly revenue per active user</t>
  </si>
  <si>
    <t>Interest Income on Loans</t>
  </si>
  <si>
    <t>TOTAL ANNUAL REVENUE</t>
  </si>
  <si>
    <t>FY - 2020</t>
  </si>
  <si>
    <t>FY - 2021</t>
  </si>
  <si>
    <t>FY - 2022</t>
  </si>
  <si>
    <t>FY - 2023</t>
  </si>
  <si>
    <t>FY - 2024</t>
  </si>
  <si>
    <t>Revenue (interest on Loan)</t>
  </si>
  <si>
    <t>Total revenue</t>
  </si>
  <si>
    <t>Total Revenue</t>
  </si>
  <si>
    <t>Direct Cost</t>
  </si>
  <si>
    <t>Direct Costs</t>
  </si>
  <si>
    <t>Total Direct Costs</t>
  </si>
  <si>
    <t>GROSS PROFIT</t>
  </si>
  <si>
    <t>GROSS PROFIT(%)</t>
  </si>
  <si>
    <t>Rent/Utility Expenses</t>
  </si>
  <si>
    <t>Total Other Expenses</t>
  </si>
  <si>
    <t>EBITDA</t>
  </si>
  <si>
    <t>Depreciation</t>
  </si>
  <si>
    <t>Amortization</t>
  </si>
  <si>
    <t>Preliminary Exp Written off</t>
  </si>
  <si>
    <t>EBIT</t>
  </si>
  <si>
    <t>Interest Expense</t>
  </si>
  <si>
    <t>PRETAX INCOME</t>
  </si>
  <si>
    <t>Cumulative Net Operating Loss</t>
  </si>
  <si>
    <t>Adjusted against Loss</t>
  </si>
  <si>
    <t>Taxable Income</t>
  </si>
  <si>
    <t>Income Tax Expense</t>
  </si>
  <si>
    <t>NET INCOME</t>
  </si>
  <si>
    <t>Net Profit Margin (%)</t>
  </si>
  <si>
    <t>Projected Income Statement for 2020 - 2024</t>
  </si>
  <si>
    <t>REVENUE ASSUMPTIONS</t>
  </si>
  <si>
    <t>EXPENSE ASSUMPTION</t>
  </si>
  <si>
    <t>EXPENSE ASSUMPTIONS</t>
  </si>
  <si>
    <t>Direct Cost of cards</t>
  </si>
  <si>
    <t>Total Direct Cost of cards sold</t>
  </si>
  <si>
    <t>Monthly Salaries</t>
  </si>
  <si>
    <t>Staff Costs</t>
  </si>
  <si>
    <t>Other Staff costs and Benefits</t>
  </si>
  <si>
    <t>Total Staff Costs</t>
  </si>
  <si>
    <t>insurance</t>
  </si>
  <si>
    <t>Total Insurance</t>
  </si>
  <si>
    <t>Other Expenses: Hosting and general onlune services</t>
  </si>
  <si>
    <t>TOTAL COST</t>
  </si>
  <si>
    <t>Purchase Price</t>
  </si>
  <si>
    <t>Usefule Life</t>
  </si>
  <si>
    <t>Description of Assets</t>
  </si>
  <si>
    <t>unspecified</t>
  </si>
  <si>
    <t>Accummulated Depreciation</t>
  </si>
  <si>
    <t>DCF VALUATION</t>
  </si>
  <si>
    <t>2020E</t>
  </si>
  <si>
    <t>2021E</t>
  </si>
  <si>
    <t>2022E</t>
  </si>
  <si>
    <t>2023E</t>
  </si>
  <si>
    <t>2024E</t>
  </si>
  <si>
    <t>Free Cash Flow as a Basis for DCF Valuation</t>
  </si>
  <si>
    <t>Normalised Operating profit</t>
  </si>
  <si>
    <t>Taxes (30% tax rate)</t>
  </si>
  <si>
    <t>Normalised operating profit after tax</t>
  </si>
  <si>
    <t>Depreciation and Amortisation</t>
  </si>
  <si>
    <t>Change in working capital</t>
  </si>
  <si>
    <t>Capital expenditures</t>
  </si>
  <si>
    <t xml:space="preserve">Free Cash Flow </t>
  </si>
  <si>
    <t>Base Case Estimate</t>
  </si>
  <si>
    <t>Worst Case Estimates</t>
  </si>
  <si>
    <t>Best Case Estimate</t>
  </si>
  <si>
    <t>Monthly card load fee via AutoPay</t>
  </si>
  <si>
    <t>Projected Statement of Cash Flow</t>
  </si>
  <si>
    <t>Cash flow from operations</t>
  </si>
  <si>
    <t>Net Income</t>
  </si>
  <si>
    <t xml:space="preserve"> + Depreciation and Amortisation</t>
  </si>
  <si>
    <t xml:space="preserve"> - Increase in Inventory</t>
  </si>
  <si>
    <t xml:space="preserve"> - Increase in Accounts Receivable</t>
  </si>
  <si>
    <t xml:space="preserve"> + Increase in Accounts Payable</t>
  </si>
  <si>
    <t>Cash flow from financing</t>
  </si>
  <si>
    <t>Cash flow from Investments</t>
  </si>
  <si>
    <t>Capital Expenditure</t>
  </si>
  <si>
    <t>Equity</t>
  </si>
  <si>
    <t>Cash at the beginning</t>
  </si>
  <si>
    <t>Cash at the end</t>
  </si>
  <si>
    <t>Net Cash flow from operations</t>
  </si>
  <si>
    <t>Net Cash flow from Investing</t>
  </si>
  <si>
    <t>Net Cash flow from financing</t>
  </si>
  <si>
    <t>Changes in Cash and Cash Equivalents</t>
  </si>
  <si>
    <t>Projected Balance Sheet</t>
  </si>
  <si>
    <t>ASSETS</t>
  </si>
  <si>
    <t>Property, Plants &amp; Machineries</t>
  </si>
  <si>
    <t>Loan Receivables</t>
  </si>
  <si>
    <t>Total non-current assets</t>
  </si>
  <si>
    <t>Inventories</t>
  </si>
  <si>
    <t>Trade and othe receivables</t>
  </si>
  <si>
    <t>Cash and Cash Equivalents</t>
  </si>
  <si>
    <t>Total current assets</t>
  </si>
  <si>
    <t>TOTAL ASSETS</t>
  </si>
  <si>
    <t>Share capital</t>
  </si>
  <si>
    <t>Retained Earnings</t>
  </si>
  <si>
    <t>Defferred Tax</t>
  </si>
  <si>
    <t>Long Term Debts</t>
  </si>
  <si>
    <t>Deferred Tax Liabilities</t>
  </si>
  <si>
    <t>Total non current liabilities</t>
  </si>
  <si>
    <t>Short term debts and acrued interests</t>
  </si>
  <si>
    <t>Trade and othe payables</t>
  </si>
  <si>
    <t>Income tax payables</t>
  </si>
  <si>
    <t>Total current liabilities</t>
  </si>
  <si>
    <t>TOTAL EQUITY AND LIABILITIES</t>
  </si>
  <si>
    <t>error check</t>
  </si>
  <si>
    <t>Net book Value</t>
  </si>
  <si>
    <t>Risk Free rate</t>
  </si>
  <si>
    <t>Equity Risk Premium</t>
  </si>
  <si>
    <t>Return on Equity</t>
  </si>
  <si>
    <t>Sustainable Growth Rate (g)</t>
  </si>
  <si>
    <t>Terminal Value</t>
  </si>
  <si>
    <t xml:space="preserve">Cash Flows </t>
  </si>
  <si>
    <t>NPV</t>
  </si>
  <si>
    <t>Opening Balance</t>
  </si>
  <si>
    <t>Less payments</t>
  </si>
  <si>
    <t>Closing balance</t>
  </si>
  <si>
    <t>Current</t>
  </si>
  <si>
    <t>Long Term</t>
  </si>
  <si>
    <r>
      <rPr>
        <b/>
        <sz val="11"/>
        <color theme="1"/>
        <rFont val="Arial"/>
        <family val="2"/>
      </rPr>
      <t>Scenario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[Select from Drop Down List - Base, Worse &amp; Best Case Scenarios]</t>
    </r>
  </si>
  <si>
    <t>Direct Cost Assumptions</t>
  </si>
  <si>
    <t>Other Company Expenses</t>
  </si>
  <si>
    <t>Debt</t>
  </si>
  <si>
    <t>Amount</t>
  </si>
  <si>
    <t>Capitlazation</t>
  </si>
  <si>
    <t>Valuation Rates</t>
  </si>
  <si>
    <t>Capital Structure</t>
  </si>
  <si>
    <t>% of capital structure</t>
  </si>
  <si>
    <t>Cost of Captal net of Tax</t>
  </si>
  <si>
    <t>Weighted Average Cost of Capital (WACC)</t>
  </si>
  <si>
    <t>Enterprise Value (NPV of Cash flow from Firm)</t>
  </si>
  <si>
    <t xml:space="preserve">  + Cash</t>
  </si>
  <si>
    <t xml:space="preserve">  - Debt</t>
  </si>
  <si>
    <t>Equity Value</t>
  </si>
  <si>
    <t>Shares Outstanding</t>
  </si>
  <si>
    <t>Fair Value per Share</t>
  </si>
  <si>
    <t>Number of Shares Outstanding</t>
  </si>
  <si>
    <t>Date</t>
  </si>
  <si>
    <t>Price</t>
  </si>
  <si>
    <t>Change % in NSEINDEX</t>
  </si>
  <si>
    <t xml:space="preserve">Change % in MTN </t>
  </si>
  <si>
    <t>May 17, 2019</t>
  </si>
  <si>
    <t>May 20, 2019</t>
  </si>
  <si>
    <t>May 21, 2019</t>
  </si>
  <si>
    <t>May 22, 2019</t>
  </si>
  <si>
    <t>May 23, 2019</t>
  </si>
  <si>
    <t>May 24, 2019</t>
  </si>
  <si>
    <t>May 27, 2019</t>
  </si>
  <si>
    <t>May 28, 2019</t>
  </si>
  <si>
    <t>May 30, 2019</t>
  </si>
  <si>
    <t>May 31, 2019</t>
  </si>
  <si>
    <t>Jun 03, 2019</t>
  </si>
  <si>
    <t>Jun 06, 2019</t>
  </si>
  <si>
    <t>Jun 07, 2019</t>
  </si>
  <si>
    <t>Jun 10, 2019</t>
  </si>
  <si>
    <t>Jun 11, 2019</t>
  </si>
  <si>
    <t>Jun 13, 2019</t>
  </si>
  <si>
    <t>Jun 14, 2019</t>
  </si>
  <si>
    <t>Jun 17, 2019</t>
  </si>
  <si>
    <t>Jun 18, 2019</t>
  </si>
  <si>
    <t>Jun 19, 2019</t>
  </si>
  <si>
    <t>Jun 20, 2019</t>
  </si>
  <si>
    <t>Jun 21, 2019</t>
  </si>
  <si>
    <t>Jun 24, 2019</t>
  </si>
  <si>
    <t>Jun 25, 2019</t>
  </si>
  <si>
    <t>Jun 26, 2019</t>
  </si>
  <si>
    <t>Jun 27, 2019</t>
  </si>
  <si>
    <t>Jun 28, 2019</t>
  </si>
  <si>
    <t>Jul 01, 2019</t>
  </si>
  <si>
    <t>Jul 02, 2019</t>
  </si>
  <si>
    <t>Jul 03, 2019</t>
  </si>
  <si>
    <t>Jul 04, 2019</t>
  </si>
  <si>
    <t>Jul 05, 2019</t>
  </si>
  <si>
    <t>Jul 08, 2019</t>
  </si>
  <si>
    <t>Jul 09, 2019</t>
  </si>
  <si>
    <t>Jul 10, 2019</t>
  </si>
  <si>
    <t>Jul 11, 2019</t>
  </si>
  <si>
    <t>Jul 12, 2019</t>
  </si>
  <si>
    <t>Jul 15, 2019</t>
  </si>
  <si>
    <t>Jul 16, 2019</t>
  </si>
  <si>
    <t>Jul 17, 2019</t>
  </si>
  <si>
    <t>Jul 18, 2019</t>
  </si>
  <si>
    <t>Jul 19, 2019</t>
  </si>
  <si>
    <t>Jul 22, 2019</t>
  </si>
  <si>
    <t>Jul 23, 2019</t>
  </si>
  <si>
    <t>Jul 24, 2019</t>
  </si>
  <si>
    <t>Jul 25, 2019</t>
  </si>
  <si>
    <t>Jul 26, 2019</t>
  </si>
  <si>
    <t>Jul 29, 2019</t>
  </si>
  <si>
    <t>Jul 30, 2019</t>
  </si>
  <si>
    <t>Jul 31, 2019</t>
  </si>
  <si>
    <t>Aug 01, 2019</t>
  </si>
  <si>
    <t>Aug 02, 2019</t>
  </si>
  <si>
    <t>Aug 05, 2019</t>
  </si>
  <si>
    <t>Aug 06, 2019</t>
  </si>
  <si>
    <t>Aug 07, 2019</t>
  </si>
  <si>
    <t>Aug 08, 2019</t>
  </si>
  <si>
    <t>Aug 09, 2019</t>
  </si>
  <si>
    <t>Aug 14, 2019</t>
  </si>
  <si>
    <t>Aug 15, 2019</t>
  </si>
  <si>
    <t>Aug 16, 2019</t>
  </si>
  <si>
    <t>Aug 19, 2019</t>
  </si>
  <si>
    <t>Aug 20, 2019</t>
  </si>
  <si>
    <t>Aug 21, 2019</t>
  </si>
  <si>
    <t>Aug 22, 2019</t>
  </si>
  <si>
    <t>Aug 23, 2019</t>
  </si>
  <si>
    <t>Aug 26, 2019</t>
  </si>
  <si>
    <t>Aug 27, 2019</t>
  </si>
  <si>
    <t>Aug 28, 2019</t>
  </si>
  <si>
    <t>Aug 29, 2019</t>
  </si>
  <si>
    <t>Aug 30, 2019</t>
  </si>
  <si>
    <t>Sep 02, 2019</t>
  </si>
  <si>
    <t>Sep 03, 2019</t>
  </si>
  <si>
    <t>Sep 04, 2019</t>
  </si>
  <si>
    <t>Sep 05, 2019</t>
  </si>
  <si>
    <t>Sep 06, 2019</t>
  </si>
  <si>
    <t>Sep 09, 2019</t>
  </si>
  <si>
    <t>Sep 10, 2019</t>
  </si>
  <si>
    <t>Sep 11, 2019</t>
  </si>
  <si>
    <t>Sep 12, 2019</t>
  </si>
  <si>
    <t>Sep 13, 2019</t>
  </si>
  <si>
    <t>Sep 16, 2019</t>
  </si>
  <si>
    <t>Sep 17, 2019</t>
  </si>
  <si>
    <t>Sep 18, 2019</t>
  </si>
  <si>
    <t>Sep 19, 2019</t>
  </si>
  <si>
    <t>Sep 20, 2019</t>
  </si>
  <si>
    <t>Covariance Method</t>
  </si>
  <si>
    <t>Slope Method</t>
  </si>
  <si>
    <t>Levered Beta - MTN</t>
  </si>
  <si>
    <t>MTN Equity in millions  (June 30, 2019)</t>
  </si>
  <si>
    <t>MTN Debt in millions  (June 30, 2019)</t>
  </si>
  <si>
    <t>Tax Rate</t>
  </si>
  <si>
    <t>Debt -to -Equity Ratio</t>
  </si>
  <si>
    <t>MTN's Unlevereg Beta</t>
  </si>
  <si>
    <t>Comparable Company Beta</t>
  </si>
  <si>
    <t>Monthly Transaction Fee</t>
  </si>
  <si>
    <t>Monthly Transaction Growth Rate</t>
  </si>
  <si>
    <t xml:space="preserve">Average Monthly Transaction per card </t>
  </si>
  <si>
    <t>OJ LIMITED</t>
  </si>
  <si>
    <t>Oj's Debt -to- Equity ratio</t>
  </si>
  <si>
    <t>Oj's Levered Beta</t>
  </si>
  <si>
    <t>Oj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</si>
</sst>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[$₦-470]\ #,##0"/>
    <numFmt numFmtId="166" formatCode="[$₦-469]\ #,##0"/>
    <numFmt numFmtId="167" formatCode="[$₦-466]\ #,##0"/>
    <numFmt numFmtId="168" formatCode="[$₦-467]\ #,##0"/>
    <numFmt numFmtId="169" formatCode="[$₦-468]\ #,##0"/>
    <numFmt numFmtId="170" formatCode="&quot;£&quot;#,##0.0000;[Red]\-&quot;£&quot;#,##0.0000"/>
    <numFmt numFmtId="171" formatCode="[$₦-467]\ #,##0_ ;[Red]\-[$₦-467]\ #,##0\ "/>
    <numFmt numFmtId="172" formatCode="[$₦-466]\ #,##0.00"/>
    <numFmt numFmtId="173" formatCode="0.0000"/>
    <numFmt numFmtId="174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65DCE9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35" fillId="0" borderId="8" applyNumberFormat="0" applyFill="0" applyAlignment="0" applyProtection="0"/>
  </cellStyleXfs>
  <cellXfs count="218">
    <xf numFmtId="0" fontId="0" fillId="0" borderId="0" xfId="0"/>
    <xf numFmtId="10" fontId="2" fillId="2" borderId="1" xfId="3" applyNumberFormat="1" applyAlignment="1">
      <alignment horizontal="center" wrapText="1"/>
    </xf>
    <xf numFmtId="9" fontId="2" fillId="2" borderId="1" xfId="3" applyNumberFormat="1" applyAlignment="1">
      <alignment horizontal="center" wrapText="1"/>
    </xf>
    <xf numFmtId="164" fontId="0" fillId="0" borderId="0" xfId="1" applyNumberFormat="1" applyFont="1"/>
    <xf numFmtId="165" fontId="2" fillId="2" borderId="1" xfId="3" applyNumberFormat="1" applyAlignment="1">
      <alignment horizontal="center" wrapText="1"/>
    </xf>
    <xf numFmtId="0" fontId="19" fillId="0" borderId="0" xfId="0" applyFont="1"/>
    <xf numFmtId="0" fontId="19" fillId="0" borderId="0" xfId="0" applyFont="1" applyBorder="1"/>
    <xf numFmtId="0" fontId="20" fillId="4" borderId="0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17" fontId="17" fillId="4" borderId="0" xfId="0" applyNumberFormat="1" applyFont="1" applyFill="1" applyBorder="1" applyAlignment="1">
      <alignment horizontal="center"/>
    </xf>
    <xf numFmtId="3" fontId="19" fillId="0" borderId="0" xfId="0" applyNumberFormat="1" applyFont="1" applyBorder="1"/>
    <xf numFmtId="164" fontId="19" fillId="0" borderId="0" xfId="1" applyNumberFormat="1" applyFont="1" applyBorder="1"/>
    <xf numFmtId="164" fontId="19" fillId="0" borderId="2" xfId="1" applyNumberFormat="1" applyFont="1" applyBorder="1"/>
    <xf numFmtId="10" fontId="19" fillId="0" borderId="0" xfId="0" applyNumberFormat="1" applyFont="1" applyBorder="1"/>
    <xf numFmtId="164" fontId="19" fillId="0" borderId="0" xfId="0" applyNumberFormat="1" applyFont="1"/>
    <xf numFmtId="43" fontId="19" fillId="0" borderId="0" xfId="0" applyNumberFormat="1" applyFont="1"/>
    <xf numFmtId="164" fontId="23" fillId="0" borderId="0" xfId="1" applyNumberFormat="1" applyFont="1"/>
    <xf numFmtId="0" fontId="18" fillId="0" borderId="0" xfId="0" applyFont="1"/>
    <xf numFmtId="0" fontId="18" fillId="0" borderId="0" xfId="0" applyFont="1" applyBorder="1"/>
    <xf numFmtId="164" fontId="19" fillId="0" borderId="3" xfId="0" applyNumberFormat="1" applyFont="1" applyBorder="1"/>
    <xf numFmtId="0" fontId="19" fillId="5" borderId="0" xfId="0" applyFont="1" applyFill="1"/>
    <xf numFmtId="0" fontId="27" fillId="6" borderId="0" xfId="0" applyFont="1" applyFill="1"/>
    <xf numFmtId="0" fontId="17" fillId="6" borderId="0" xfId="0" applyFont="1" applyFill="1" applyAlignment="1">
      <alignment horizontal="center"/>
    </xf>
    <xf numFmtId="0" fontId="23" fillId="5" borderId="0" xfId="0" applyFont="1" applyFill="1"/>
    <xf numFmtId="0" fontId="24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wrapText="1"/>
    </xf>
    <xf numFmtId="0" fontId="23" fillId="5" borderId="0" xfId="0" applyFont="1" applyFill="1" applyBorder="1"/>
    <xf numFmtId="166" fontId="23" fillId="5" borderId="0" xfId="0" applyNumberFormat="1" applyFont="1" applyFill="1" applyBorder="1"/>
    <xf numFmtId="166" fontId="23" fillId="5" borderId="0" xfId="0" applyNumberFormat="1" applyFont="1" applyFill="1"/>
    <xf numFmtId="0" fontId="24" fillId="5" borderId="0" xfId="0" applyFont="1" applyFill="1" applyBorder="1" applyAlignment="1">
      <alignment wrapText="1"/>
    </xf>
    <xf numFmtId="0" fontId="25" fillId="5" borderId="0" xfId="0" applyFont="1" applyFill="1" applyBorder="1" applyAlignment="1">
      <alignment vertical="center"/>
    </xf>
    <xf numFmtId="0" fontId="28" fillId="0" borderId="0" xfId="0" applyFont="1"/>
    <xf numFmtId="9" fontId="23" fillId="5" borderId="0" xfId="2" applyFont="1" applyFill="1" applyBorder="1"/>
    <xf numFmtId="166" fontId="29" fillId="5" borderId="0" xfId="0" applyNumberFormat="1" applyFont="1" applyFill="1" applyBorder="1"/>
    <xf numFmtId="164" fontId="0" fillId="0" borderId="0" xfId="0" applyNumberFormat="1"/>
    <xf numFmtId="168" fontId="23" fillId="5" borderId="0" xfId="0" applyNumberFormat="1" applyFont="1" applyFill="1" applyBorder="1"/>
    <xf numFmtId="168" fontId="23" fillId="5" borderId="0" xfId="0" applyNumberFormat="1" applyFont="1" applyFill="1"/>
    <xf numFmtId="0" fontId="32" fillId="5" borderId="0" xfId="0" applyFont="1" applyFill="1"/>
    <xf numFmtId="0" fontId="31" fillId="5" borderId="0" xfId="0" applyFont="1" applyFill="1"/>
    <xf numFmtId="0" fontId="27" fillId="6" borderId="0" xfId="0" applyFont="1" applyFill="1" applyAlignment="1">
      <alignment horizontal="center"/>
    </xf>
    <xf numFmtId="0" fontId="0" fillId="6" borderId="0" xfId="0" applyFill="1"/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6" borderId="0" xfId="0" applyNumberFormat="1" applyFill="1" applyAlignment="1">
      <alignment horizontal="center"/>
    </xf>
    <xf numFmtId="0" fontId="5" fillId="6" borderId="0" xfId="0" applyFont="1" applyFill="1"/>
    <xf numFmtId="0" fontId="3" fillId="6" borderId="0" xfId="0" applyFont="1" applyFill="1"/>
    <xf numFmtId="164" fontId="0" fillId="5" borderId="0" xfId="1" applyNumberFormat="1" applyFont="1" applyFill="1"/>
    <xf numFmtId="0" fontId="30" fillId="5" borderId="0" xfId="0" applyFont="1" applyFill="1"/>
    <xf numFmtId="169" fontId="0" fillId="5" borderId="0" xfId="0" applyNumberFormat="1" applyFill="1"/>
    <xf numFmtId="0" fontId="0" fillId="5" borderId="0" xfId="0" applyFont="1" applyFill="1"/>
    <xf numFmtId="0" fontId="0" fillId="5" borderId="0" xfId="0" applyFill="1" applyAlignment="1">
      <alignment horizontal="right"/>
    </xf>
    <xf numFmtId="167" fontId="0" fillId="5" borderId="0" xfId="0" applyNumberFormat="1" applyFill="1"/>
    <xf numFmtId="167" fontId="4" fillId="5" borderId="0" xfId="0" applyNumberFormat="1" applyFont="1" applyFill="1"/>
    <xf numFmtId="167" fontId="0" fillId="5" borderId="4" xfId="0" applyNumberFormat="1" applyFill="1" applyBorder="1"/>
    <xf numFmtId="167" fontId="4" fillId="5" borderId="5" xfId="0" applyNumberFormat="1" applyFont="1" applyFill="1" applyBorder="1"/>
    <xf numFmtId="167" fontId="0" fillId="5" borderId="5" xfId="0" applyNumberFormat="1" applyFill="1" applyBorder="1"/>
    <xf numFmtId="167" fontId="4" fillId="5" borderId="7" xfId="0" applyNumberFormat="1" applyFont="1" applyFill="1" applyBorder="1"/>
    <xf numFmtId="0" fontId="33" fillId="5" borderId="0" xfId="0" applyFont="1" applyFill="1" applyAlignment="1">
      <alignment horizontal="right"/>
    </xf>
    <xf numFmtId="167" fontId="33" fillId="5" borderId="0" xfId="0" applyNumberFormat="1" applyFont="1" applyFill="1"/>
    <xf numFmtId="0" fontId="34" fillId="5" borderId="0" xfId="0" applyFont="1" applyFill="1" applyAlignment="1">
      <alignment horizontal="right"/>
    </xf>
    <xf numFmtId="167" fontId="34" fillId="5" borderId="0" xfId="0" applyNumberFormat="1" applyFont="1" applyFill="1"/>
    <xf numFmtId="164" fontId="0" fillId="5" borderId="0" xfId="1" applyNumberFormat="1" applyFont="1" applyFill="1" applyAlignment="1">
      <alignment horizontal="center"/>
    </xf>
    <xf numFmtId="170" fontId="0" fillId="5" borderId="0" xfId="0" applyNumberFormat="1" applyFill="1" applyAlignment="1">
      <alignment horizontal="center"/>
    </xf>
    <xf numFmtId="0" fontId="4" fillId="5" borderId="0" xfId="0" applyFont="1" applyFill="1" applyAlignment="1">
      <alignment horizontal="center"/>
    </xf>
    <xf numFmtId="169" fontId="4" fillId="5" borderId="6" xfId="0" applyNumberFormat="1" applyFont="1" applyFill="1" applyBorder="1"/>
    <xf numFmtId="169" fontId="0" fillId="5" borderId="7" xfId="0" applyNumberFormat="1" applyFill="1" applyBorder="1"/>
    <xf numFmtId="169" fontId="0" fillId="5" borderId="4" xfId="0" applyNumberFormat="1" applyFill="1" applyBorder="1"/>
    <xf numFmtId="169" fontId="0" fillId="5" borderId="6" xfId="0" applyNumberFormat="1" applyFill="1" applyBorder="1"/>
    <xf numFmtId="0" fontId="25" fillId="5" borderId="0" xfId="0" applyFont="1" applyFill="1" applyBorder="1" applyAlignment="1">
      <alignment wrapText="1"/>
    </xf>
    <xf numFmtId="0" fontId="29" fillId="5" borderId="0" xfId="0" applyFont="1" applyFill="1"/>
    <xf numFmtId="171" fontId="4" fillId="5" borderId="0" xfId="0" applyNumberFormat="1" applyFont="1" applyFill="1" applyAlignment="1">
      <alignment horizontal="center"/>
    </xf>
    <xf numFmtId="164" fontId="2" fillId="2" borderId="1" xfId="3" applyNumberFormat="1"/>
    <xf numFmtId="167" fontId="0" fillId="5" borderId="0" xfId="0" applyNumberFormat="1" applyFill="1" applyProtection="1">
      <protection locked="0"/>
    </xf>
    <xf numFmtId="6" fontId="0" fillId="5" borderId="0" xfId="0" applyNumberFormat="1" applyFill="1" applyAlignment="1">
      <alignment horizontal="center"/>
    </xf>
    <xf numFmtId="164" fontId="0" fillId="0" borderId="0" xfId="1" quotePrefix="1" applyNumberFormat="1" applyFont="1"/>
    <xf numFmtId="164" fontId="4" fillId="0" borderId="0" xfId="1" applyNumberFormat="1" applyFont="1"/>
    <xf numFmtId="0" fontId="7" fillId="5" borderId="0" xfId="0" applyFont="1" applyFill="1" applyBorder="1" applyAlignment="1"/>
    <xf numFmtId="0" fontId="0" fillId="5" borderId="0" xfId="0" applyFill="1" applyBorder="1" applyAlignment="1"/>
    <xf numFmtId="0" fontId="7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0" fillId="5" borderId="0" xfId="0" applyFill="1" applyBorder="1"/>
    <xf numFmtId="0" fontId="13" fillId="5" borderId="0" xfId="0" applyFont="1" applyFill="1" applyBorder="1" applyAlignment="1"/>
    <xf numFmtId="0" fontId="11" fillId="5" borderId="0" xfId="0" applyFont="1" applyFill="1" applyBorder="1" applyAlignment="1">
      <alignment wrapText="1"/>
    </xf>
    <xf numFmtId="0" fontId="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3" fillId="5" borderId="0" xfId="4" applyFont="1" applyFill="1" applyBorder="1" applyAlignment="1">
      <alignment horizontal="center" wrapText="1"/>
    </xf>
    <xf numFmtId="0" fontId="8" fillId="5" borderId="0" xfId="0" applyFont="1" applyFill="1" applyBorder="1" applyAlignment="1"/>
    <xf numFmtId="0" fontId="21" fillId="5" borderId="0" xfId="0" applyFont="1" applyFill="1" applyBorder="1" applyAlignment="1"/>
    <xf numFmtId="3" fontId="8" fillId="5" borderId="0" xfId="0" applyNumberFormat="1" applyFont="1" applyFill="1" applyBorder="1" applyAlignment="1">
      <alignment horizontal="center" wrapText="1"/>
    </xf>
    <xf numFmtId="10" fontId="8" fillId="5" borderId="0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10" fontId="2" fillId="5" borderId="0" xfId="3" applyNumberFormat="1" applyFill="1" applyBorder="1" applyAlignment="1">
      <alignment horizontal="center" wrapText="1"/>
    </xf>
    <xf numFmtId="10" fontId="11" fillId="5" borderId="0" xfId="0" applyNumberFormat="1" applyFont="1" applyFill="1" applyBorder="1" applyAlignment="1">
      <alignment horizontal="center" wrapText="1"/>
    </xf>
    <xf numFmtId="0" fontId="22" fillId="5" borderId="0" xfId="0" applyFont="1" applyFill="1" applyBorder="1"/>
    <xf numFmtId="165" fontId="2" fillId="5" borderId="0" xfId="3" applyNumberFormat="1" applyFill="1" applyBorder="1" applyAlignment="1">
      <alignment horizontal="center" wrapText="1"/>
    </xf>
    <xf numFmtId="0" fontId="9" fillId="5" borderId="0" xfId="0" applyFont="1" applyFill="1" applyBorder="1" applyAlignment="1"/>
    <xf numFmtId="0" fontId="16" fillId="5" borderId="0" xfId="0" applyFont="1" applyFill="1" applyBorder="1" applyAlignment="1"/>
    <xf numFmtId="167" fontId="2" fillId="5" borderId="0" xfId="3" applyNumberFormat="1" applyFill="1" applyBorder="1" applyAlignment="1">
      <alignment horizontal="center" wrapText="1"/>
    </xf>
    <xf numFmtId="166" fontId="2" fillId="5" borderId="0" xfId="3" applyNumberForma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9" fontId="2" fillId="5" borderId="0" xfId="3" applyNumberFormat="1" applyFill="1" applyBorder="1" applyAlignment="1">
      <alignment horizontal="center" wrapText="1"/>
    </xf>
    <xf numFmtId="0" fontId="12" fillId="5" borderId="0" xfId="0" applyFont="1" applyFill="1" applyBorder="1"/>
    <xf numFmtId="167" fontId="2" fillId="2" borderId="1" xfId="3" applyNumberFormat="1" applyAlignment="1">
      <alignment horizontal="center" wrapText="1"/>
    </xf>
    <xf numFmtId="0" fontId="2" fillId="2" borderId="1" xfId="3" applyAlignment="1">
      <alignment horizontal="center" wrapText="1"/>
    </xf>
    <xf numFmtId="166" fontId="2" fillId="2" borderId="1" xfId="3" applyNumberFormat="1" applyAlignment="1">
      <alignment horizontal="center" wrapText="1"/>
    </xf>
    <xf numFmtId="0" fontId="35" fillId="7" borderId="0" xfId="6" applyFill="1" applyBorder="1" applyAlignment="1">
      <alignment horizontal="center" wrapText="1"/>
    </xf>
    <xf numFmtId="3" fontId="2" fillId="2" borderId="10" xfId="3" applyNumberFormat="1" applyBorder="1" applyAlignment="1">
      <alignment horizontal="center" wrapText="1"/>
    </xf>
    <xf numFmtId="0" fontId="8" fillId="5" borderId="9" xfId="0" applyFont="1" applyFill="1" applyBorder="1" applyAlignment="1">
      <alignment wrapText="1"/>
    </xf>
    <xf numFmtId="0" fontId="11" fillId="5" borderId="9" xfId="0" applyFont="1" applyFill="1" applyBorder="1" applyAlignment="1">
      <alignment wrapText="1"/>
    </xf>
    <xf numFmtId="0" fontId="37" fillId="5" borderId="0" xfId="0" applyFont="1" applyFill="1" applyBorder="1" applyAlignment="1">
      <alignment wrapText="1"/>
    </xf>
    <xf numFmtId="10" fontId="4" fillId="5" borderId="7" xfId="0" applyNumberFormat="1" applyFont="1" applyFill="1" applyBorder="1" applyAlignment="1">
      <alignment horizontal="center"/>
    </xf>
    <xf numFmtId="10" fontId="4" fillId="5" borderId="0" xfId="2" applyNumberFormat="1" applyFont="1" applyFill="1" applyAlignment="1">
      <alignment horizontal="center"/>
    </xf>
    <xf numFmtId="0" fontId="0" fillId="5" borderId="11" xfId="0" applyFill="1" applyBorder="1"/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3" xfId="0" applyFill="1" applyBorder="1"/>
    <xf numFmtId="10" fontId="0" fillId="5" borderId="2" xfId="2" applyNumberFormat="1" applyFont="1" applyFill="1" applyBorder="1" applyAlignment="1">
      <alignment horizontal="center"/>
    </xf>
    <xf numFmtId="0" fontId="0" fillId="5" borderId="14" xfId="0" applyFill="1" applyBorder="1"/>
    <xf numFmtId="0" fontId="0" fillId="5" borderId="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0" fontId="0" fillId="5" borderId="0" xfId="2" applyNumberFormat="1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3" xfId="0" applyFont="1" applyFill="1" applyBorder="1"/>
    <xf numFmtId="10" fontId="4" fillId="5" borderId="0" xfId="2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4" xfId="0" applyFont="1" applyFill="1" applyBorder="1"/>
    <xf numFmtId="10" fontId="4" fillId="5" borderId="4" xfId="2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38" fillId="5" borderId="4" xfId="0" applyFont="1" applyFill="1" applyBorder="1"/>
    <xf numFmtId="0" fontId="0" fillId="5" borderId="4" xfId="0" applyFill="1" applyBorder="1"/>
    <xf numFmtId="10" fontId="0" fillId="5" borderId="4" xfId="2" applyNumberFormat="1" applyFont="1" applyFill="1" applyBorder="1" applyAlignment="1">
      <alignment horizontal="center"/>
    </xf>
    <xf numFmtId="0" fontId="18" fillId="5" borderId="0" xfId="0" applyFont="1" applyFill="1"/>
    <xf numFmtId="169" fontId="0" fillId="5" borderId="0" xfId="0" applyNumberFormat="1" applyFill="1" applyBorder="1" applyAlignment="1">
      <alignment horizontal="center"/>
    </xf>
    <xf numFmtId="169" fontId="0" fillId="5" borderId="2" xfId="0" applyNumberFormat="1" applyFill="1" applyBorder="1" applyAlignment="1">
      <alignment horizontal="center"/>
    </xf>
    <xf numFmtId="10" fontId="0" fillId="5" borderId="15" xfId="0" applyNumberFormat="1" applyFill="1" applyBorder="1"/>
    <xf numFmtId="0" fontId="18" fillId="5" borderId="14" xfId="0" applyFont="1" applyFill="1" applyBorder="1"/>
    <xf numFmtId="0" fontId="3" fillId="3" borderId="7" xfId="4" applyFont="1" applyBorder="1" applyAlignment="1">
      <alignment horizontal="center"/>
    </xf>
    <xf numFmtId="0" fontId="3" fillId="3" borderId="12" xfId="4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7" fontId="4" fillId="5" borderId="3" xfId="0" applyNumberFormat="1" applyFont="1" applyFill="1" applyBorder="1" applyAlignment="1">
      <alignment horizontal="center"/>
    </xf>
    <xf numFmtId="164" fontId="8" fillId="5" borderId="0" xfId="1" applyNumberFormat="1" applyFont="1" applyFill="1" applyBorder="1" applyAlignment="1">
      <alignment wrapText="1"/>
    </xf>
    <xf numFmtId="164" fontId="2" fillId="2" borderId="1" xfId="3" applyNumberFormat="1" applyAlignment="1">
      <alignment wrapText="1"/>
    </xf>
    <xf numFmtId="0" fontId="18" fillId="0" borderId="0" xfId="0" applyFont="1" applyAlignment="1">
      <alignment horizontal="center"/>
    </xf>
    <xf numFmtId="0" fontId="28" fillId="5" borderId="0" xfId="0" applyFont="1" applyFill="1"/>
    <xf numFmtId="0" fontId="19" fillId="5" borderId="0" xfId="0" applyFont="1" applyFill="1" applyBorder="1"/>
    <xf numFmtId="0" fontId="18" fillId="5" borderId="0" xfId="0" applyFont="1" applyFill="1" applyBorder="1"/>
    <xf numFmtId="3" fontId="19" fillId="5" borderId="0" xfId="0" applyNumberFormat="1" applyFont="1" applyFill="1" applyBorder="1"/>
    <xf numFmtId="164" fontId="19" fillId="5" borderId="0" xfId="1" applyNumberFormat="1" applyFont="1" applyFill="1" applyBorder="1"/>
    <xf numFmtId="164" fontId="19" fillId="5" borderId="2" xfId="1" applyNumberFormat="1" applyFont="1" applyFill="1" applyBorder="1"/>
    <xf numFmtId="10" fontId="19" fillId="5" borderId="0" xfId="0" applyNumberFormat="1" applyFont="1" applyFill="1" applyBorder="1"/>
    <xf numFmtId="164" fontId="23" fillId="5" borderId="0" xfId="1" applyNumberFormat="1" applyFont="1" applyFill="1"/>
    <xf numFmtId="164" fontId="23" fillId="5" borderId="6" xfId="1" applyNumberFormat="1" applyFont="1" applyFill="1" applyBorder="1"/>
    <xf numFmtId="43" fontId="19" fillId="5" borderId="0" xfId="0" applyNumberFormat="1" applyFont="1" applyFill="1"/>
    <xf numFmtId="0" fontId="18" fillId="5" borderId="0" xfId="0" applyFont="1" applyFill="1" applyAlignment="1">
      <alignment horizontal="center"/>
    </xf>
    <xf numFmtId="164" fontId="19" fillId="5" borderId="0" xfId="0" applyNumberFormat="1" applyFont="1" applyFill="1"/>
    <xf numFmtId="164" fontId="19" fillId="5" borderId="3" xfId="0" applyNumberFormat="1" applyFont="1" applyFill="1" applyBorder="1"/>
    <xf numFmtId="0" fontId="20" fillId="8" borderId="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19" fillId="8" borderId="0" xfId="0" applyFont="1" applyFill="1"/>
    <xf numFmtId="0" fontId="17" fillId="8" borderId="0" xfId="0" applyFont="1" applyFill="1" applyBorder="1" applyAlignment="1">
      <alignment horizontal="center"/>
    </xf>
    <xf numFmtId="17" fontId="17" fillId="8" borderId="0" xfId="0" applyNumberFormat="1" applyFont="1" applyFill="1" applyBorder="1" applyAlignment="1">
      <alignment horizontal="center"/>
    </xf>
    <xf numFmtId="0" fontId="19" fillId="5" borderId="6" xfId="0" applyFont="1" applyFill="1" applyBorder="1"/>
    <xf numFmtId="164" fontId="19" fillId="5" borderId="6" xfId="1" applyNumberFormat="1" applyFont="1" applyFill="1" applyBorder="1"/>
    <xf numFmtId="0" fontId="8" fillId="5" borderId="16" xfId="0" applyFont="1" applyFill="1" applyBorder="1" applyAlignment="1">
      <alignment wrapText="1"/>
    </xf>
    <xf numFmtId="3" fontId="2" fillId="2" borderId="17" xfId="3" applyNumberFormat="1" applyBorder="1" applyAlignment="1">
      <alignment horizontal="center" wrapText="1"/>
    </xf>
    <xf numFmtId="10" fontId="2" fillId="2" borderId="18" xfId="3" applyNumberFormat="1" applyBorder="1" applyAlignment="1">
      <alignment horizontal="center" wrapText="1"/>
    </xf>
    <xf numFmtId="165" fontId="2" fillId="2" borderId="18" xfId="3" applyNumberFormat="1" applyBorder="1" applyAlignment="1">
      <alignment horizontal="center" wrapText="1"/>
    </xf>
    <xf numFmtId="9" fontId="2" fillId="2" borderId="18" xfId="3" applyNumberFormat="1" applyBorder="1" applyAlignment="1">
      <alignment horizontal="center" wrapText="1"/>
    </xf>
    <xf numFmtId="167" fontId="2" fillId="2" borderId="18" xfId="3" applyNumberFormat="1" applyBorder="1" applyAlignment="1">
      <alignment horizontal="center" wrapText="1"/>
    </xf>
    <xf numFmtId="0" fontId="2" fillId="2" borderId="18" xfId="3" applyBorder="1" applyAlignment="1">
      <alignment horizontal="center" wrapText="1"/>
    </xf>
    <xf numFmtId="0" fontId="8" fillId="5" borderId="19" xfId="0" applyFont="1" applyFill="1" applyBorder="1" applyAlignment="1">
      <alignment wrapText="1"/>
    </xf>
    <xf numFmtId="3" fontId="2" fillId="5" borderId="0" xfId="3" applyNumberFormat="1" applyFill="1" applyBorder="1" applyAlignment="1">
      <alignment horizontal="center" wrapText="1"/>
    </xf>
    <xf numFmtId="10" fontId="2" fillId="2" borderId="18" xfId="2" applyNumberFormat="1" applyFont="1" applyFill="1" applyBorder="1" applyAlignment="1">
      <alignment horizontal="center" wrapText="1"/>
    </xf>
    <xf numFmtId="10" fontId="2" fillId="2" borderId="1" xfId="2" applyNumberFormat="1" applyFont="1" applyFill="1" applyBorder="1" applyAlignment="1">
      <alignment horizontal="center" wrapText="1"/>
    </xf>
    <xf numFmtId="10" fontId="2" fillId="5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Border="1"/>
    <xf numFmtId="167" fontId="0" fillId="5" borderId="0" xfId="1" applyNumberFormat="1" applyFont="1" applyFill="1" applyAlignment="1">
      <alignment horizontal="center"/>
    </xf>
    <xf numFmtId="167" fontId="0" fillId="5" borderId="0" xfId="1" applyNumberFormat="1" applyFont="1" applyFill="1"/>
    <xf numFmtId="167" fontId="0" fillId="5" borderId="4" xfId="1" applyNumberFormat="1" applyFont="1" applyFill="1" applyBorder="1"/>
    <xf numFmtId="167" fontId="4" fillId="5" borderId="0" xfId="1" applyNumberFormat="1" applyFont="1" applyFill="1"/>
    <xf numFmtId="0" fontId="4" fillId="5" borderId="20" xfId="0" applyFont="1" applyFill="1" applyBorder="1"/>
    <xf numFmtId="172" fontId="4" fillId="5" borderId="20" xfId="0" applyNumberFormat="1" applyFont="1" applyFill="1" applyBorder="1"/>
    <xf numFmtId="10" fontId="2" fillId="2" borderId="1" xfId="3" applyNumberFormat="1" applyAlignment="1">
      <alignment horizontal="center"/>
    </xf>
    <xf numFmtId="0" fontId="4" fillId="5" borderId="0" xfId="0" applyFont="1" applyFill="1" applyAlignment="1">
      <alignment wrapText="1"/>
    </xf>
    <xf numFmtId="4" fontId="0" fillId="5" borderId="0" xfId="0" applyNumberFormat="1" applyFill="1"/>
    <xf numFmtId="10" fontId="0" fillId="5" borderId="0" xfId="0" applyNumberFormat="1" applyFill="1"/>
    <xf numFmtId="173" fontId="0" fillId="5" borderId="0" xfId="0" applyNumberFormat="1" applyFill="1"/>
    <xf numFmtId="2" fontId="0" fillId="5" borderId="0" xfId="0" applyNumberFormat="1" applyFill="1"/>
    <xf numFmtId="9" fontId="0" fillId="5" borderId="0" xfId="2" applyFont="1" applyFill="1"/>
    <xf numFmtId="0" fontId="0" fillId="5" borderId="7" xfId="0" applyFill="1" applyBorder="1"/>
    <xf numFmtId="0" fontId="0" fillId="5" borderId="2" xfId="0" applyFill="1" applyBorder="1"/>
    <xf numFmtId="43" fontId="39" fillId="0" borderId="0" xfId="1" applyFont="1" applyBorder="1"/>
    <xf numFmtId="43" fontId="0" fillId="5" borderId="0" xfId="1" applyFont="1" applyFill="1" applyBorder="1"/>
    <xf numFmtId="0" fontId="39" fillId="0" borderId="0" xfId="0" applyFont="1" applyBorder="1"/>
    <xf numFmtId="9" fontId="0" fillId="5" borderId="0" xfId="2" applyFont="1" applyFill="1" applyBorder="1"/>
    <xf numFmtId="9" fontId="0" fillId="5" borderId="2" xfId="2" applyFont="1" applyFill="1" applyBorder="1"/>
    <xf numFmtId="43" fontId="0" fillId="5" borderId="0" xfId="0" applyNumberFormat="1" applyFill="1" applyBorder="1"/>
    <xf numFmtId="174" fontId="0" fillId="5" borderId="4" xfId="0" applyNumberFormat="1" applyFill="1" applyBorder="1"/>
    <xf numFmtId="173" fontId="0" fillId="5" borderId="15" xfId="0" applyNumberFormat="1" applyFill="1" applyBorder="1"/>
    <xf numFmtId="174" fontId="0" fillId="5" borderId="2" xfId="0" applyNumberFormat="1" applyFill="1" applyBorder="1" applyAlignment="1">
      <alignment horizontal="center"/>
    </xf>
    <xf numFmtId="168" fontId="2" fillId="5" borderId="0" xfId="3" applyNumberFormat="1" applyFill="1" applyBorder="1" applyAlignment="1">
      <alignment horizontal="center" wrapText="1"/>
    </xf>
    <xf numFmtId="168" fontId="2" fillId="2" borderId="18" xfId="3" applyNumberFormat="1" applyBorder="1" applyAlignment="1">
      <alignment horizontal="center" wrapText="1"/>
    </xf>
    <xf numFmtId="168" fontId="2" fillId="2" borderId="1" xfId="3" applyNumberFormat="1" applyAlignment="1">
      <alignment horizontal="center" wrapText="1"/>
    </xf>
    <xf numFmtId="10" fontId="23" fillId="5" borderId="0" xfId="2" applyNumberFormat="1" applyFont="1" applyFill="1"/>
    <xf numFmtId="0" fontId="0" fillId="5" borderId="9" xfId="0" applyFill="1" applyBorder="1"/>
    <xf numFmtId="174" fontId="0" fillId="5" borderId="9" xfId="0" applyNumberFormat="1" applyFill="1" applyBorder="1"/>
    <xf numFmtId="2" fontId="0" fillId="5" borderId="9" xfId="0" applyNumberFormat="1" applyFill="1" applyBorder="1"/>
    <xf numFmtId="0" fontId="6" fillId="5" borderId="0" xfId="5" applyFill="1" applyAlignment="1">
      <alignment horizontal="center"/>
    </xf>
    <xf numFmtId="0" fontId="5" fillId="6" borderId="0" xfId="0" applyFont="1" applyFill="1" applyAlignment="1">
      <alignment horizontal="right"/>
    </xf>
    <xf numFmtId="0" fontId="5" fillId="5" borderId="0" xfId="0" applyFont="1" applyFill="1"/>
    <xf numFmtId="0" fontId="5" fillId="9" borderId="0" xfId="0" applyFont="1" applyFill="1" applyAlignment="1">
      <alignment horizontal="right"/>
    </xf>
  </cellXfs>
  <cellStyles count="7">
    <cellStyle name="Accent1" xfId="4" builtinId="29"/>
    <cellStyle name="Comma" xfId="1" builtinId="3"/>
    <cellStyle name="Input" xfId="3" builtinId="20"/>
    <cellStyle name="Linked Cell" xfId="6" builtinId="24"/>
    <cellStyle name="Normal" xfId="0" builtinId="0"/>
    <cellStyle name="Percent" xfId="2" builtinId="5"/>
    <cellStyle name="Title 2" xfId="5"/>
  </cellStyles>
  <dxfs count="0"/>
  <tableStyles count="0" defaultTableStyle="TableStyleMedium2" defaultPivotStyle="PivotStyleLight16"/>
  <colors>
    <mruColors>
      <color rgb="FF65DCE9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Layout" zoomScaleNormal="100" workbookViewId="0">
      <selection activeCell="A3" sqref="A3"/>
    </sheetView>
  </sheetViews>
  <sheetFormatPr defaultRowHeight="15" x14ac:dyDescent="0.25"/>
  <cols>
    <col min="1" max="16384" width="9.140625" style="42"/>
  </cols>
  <sheetData>
    <row r="2" spans="1:13" ht="23.25" x14ac:dyDescent="0.35">
      <c r="A2" s="214" t="s">
        <v>358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17" spans="1:13" ht="23.25" x14ac:dyDescent="0.35">
      <c r="A17" s="214" t="s">
        <v>0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</row>
  </sheetData>
  <mergeCells count="2">
    <mergeCell ref="A2:M2"/>
    <mergeCell ref="A17:M17"/>
  </mergeCells>
  <pageMargins left="0.7" right="0.7" top="0.75" bottom="0.75" header="0.3" footer="0.3"/>
  <pageSetup orientation="landscape" r:id="rId1"/>
  <headerFooter>
    <oddFooter>Prepared by Mathias Amuta 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9"/>
  <sheetViews>
    <sheetView workbookViewId="0">
      <selection activeCell="E5" sqref="E5"/>
    </sheetView>
  </sheetViews>
  <sheetFormatPr defaultRowHeight="15" x14ac:dyDescent="0.25"/>
  <cols>
    <col min="1" max="1" width="2.85546875" customWidth="1"/>
    <col min="2" max="2" width="26" customWidth="1"/>
    <col min="3" max="3" width="19.85546875" customWidth="1"/>
    <col min="4" max="4" width="14" customWidth="1"/>
    <col min="5" max="5" width="14.28515625" bestFit="1" customWidth="1"/>
    <col min="6" max="6" width="14.42578125" customWidth="1"/>
    <col min="7" max="9" width="14.28515625" bestFit="1" customWidth="1"/>
  </cols>
  <sheetData>
    <row r="3" spans="2:9" x14ac:dyDescent="0.25">
      <c r="E3">
        <f>'Income Statement'!D5</f>
        <v>2020</v>
      </c>
      <c r="F3">
        <f>'Income Statement'!E5</f>
        <v>2021</v>
      </c>
      <c r="G3">
        <f>'Income Statement'!F5</f>
        <v>2022</v>
      </c>
      <c r="H3">
        <f>'Income Statement'!G5</f>
        <v>2023</v>
      </c>
      <c r="I3">
        <f>'Income Statement'!H5</f>
        <v>2024</v>
      </c>
    </row>
    <row r="4" spans="2:9" x14ac:dyDescent="0.25">
      <c r="B4" t="s">
        <v>166</v>
      </c>
      <c r="C4" t="s">
        <v>164</v>
      </c>
      <c r="D4" t="s">
        <v>165</v>
      </c>
    </row>
    <row r="5" spans="2:9" x14ac:dyDescent="0.25">
      <c r="B5" t="s">
        <v>167</v>
      </c>
      <c r="C5" s="3">
        <f>BalSheet!D8</f>
        <v>11765000</v>
      </c>
      <c r="D5">
        <v>4</v>
      </c>
      <c r="E5" s="3">
        <f>ROUND($C$5/$D$5, -3)</f>
        <v>2941000</v>
      </c>
      <c r="F5" s="3">
        <f t="shared" ref="F5:H5" si="0">ROUND($C$5/$D$5, -3)</f>
        <v>2941000</v>
      </c>
      <c r="G5" s="3">
        <f t="shared" si="0"/>
        <v>2941000</v>
      </c>
      <c r="H5" s="3">
        <f t="shared" si="0"/>
        <v>2941000</v>
      </c>
      <c r="I5" s="78"/>
    </row>
    <row r="7" spans="2:9" x14ac:dyDescent="0.25">
      <c r="B7" t="s">
        <v>168</v>
      </c>
      <c r="E7" s="35">
        <f>ROUND(E5, -3)</f>
        <v>2941000</v>
      </c>
      <c r="F7" s="35">
        <f>ROUND(E7+F5, -3)</f>
        <v>5882000</v>
      </c>
      <c r="G7" s="35">
        <f>ROUND(F7+G5, -3)</f>
        <v>8823000</v>
      </c>
      <c r="H7" s="35">
        <f>ROUND(G7+H5, -3)</f>
        <v>11764000</v>
      </c>
      <c r="I7" s="35"/>
    </row>
    <row r="9" spans="2:9" x14ac:dyDescent="0.25">
      <c r="B9" t="s">
        <v>226</v>
      </c>
      <c r="E9" s="35">
        <f>ROUND($C$5-E7, -3)</f>
        <v>8824000</v>
      </c>
      <c r="F9" s="35">
        <f>ROUND($C$5-F7, -3)</f>
        <v>5883000</v>
      </c>
      <c r="G9" s="35">
        <f>ROUND($C$5-G7, -3)</f>
        <v>2942000</v>
      </c>
      <c r="H9" s="35">
        <f t="shared" ref="H9" si="1">$C$5-H7</f>
        <v>1000</v>
      </c>
      <c r="I9" s="35">
        <f>H9</f>
        <v>1000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L15"/>
  <sheetViews>
    <sheetView workbookViewId="0">
      <selection activeCell="G15" sqref="G15"/>
    </sheetView>
  </sheetViews>
  <sheetFormatPr defaultRowHeight="15" x14ac:dyDescent="0.25"/>
  <cols>
    <col min="5" max="5" width="5.140625" customWidth="1"/>
    <col min="6" max="6" width="26.5703125" customWidth="1"/>
    <col min="7" max="7" width="14.42578125" bestFit="1" customWidth="1"/>
    <col min="8" max="8" width="14.28515625" bestFit="1" customWidth="1"/>
    <col min="9" max="9" width="13.28515625" bestFit="1" customWidth="1"/>
  </cols>
  <sheetData>
    <row r="3" spans="5:12" x14ac:dyDescent="0.25">
      <c r="G3" s="54">
        <v>2019</v>
      </c>
      <c r="H3" s="54" t="s">
        <v>170</v>
      </c>
      <c r="I3" s="54" t="s">
        <v>171</v>
      </c>
      <c r="J3" s="54" t="s">
        <v>172</v>
      </c>
      <c r="K3" s="54" t="s">
        <v>173</v>
      </c>
      <c r="L3" s="54" t="s">
        <v>174</v>
      </c>
    </row>
    <row r="5" spans="5:12" x14ac:dyDescent="0.25">
      <c r="E5" t="s">
        <v>234</v>
      </c>
      <c r="G5" s="3"/>
      <c r="H5" s="3">
        <f>G10</f>
        <v>19568000</v>
      </c>
      <c r="I5" s="3">
        <f>H10</f>
        <v>9784000</v>
      </c>
    </row>
    <row r="6" spans="5:12" x14ac:dyDescent="0.25">
      <c r="F6" t="s">
        <v>237</v>
      </c>
      <c r="G6" s="3"/>
      <c r="H6" s="3">
        <f>G11</f>
        <v>9784000</v>
      </c>
      <c r="I6" s="3">
        <f>I5</f>
        <v>9784000</v>
      </c>
    </row>
    <row r="7" spans="5:12" x14ac:dyDescent="0.25">
      <c r="F7" t="s">
        <v>238</v>
      </c>
      <c r="G7" s="3"/>
      <c r="H7" s="3">
        <f>G12</f>
        <v>9784000</v>
      </c>
      <c r="I7" s="3"/>
    </row>
    <row r="8" spans="5:12" x14ac:dyDescent="0.25">
      <c r="G8" s="3"/>
      <c r="H8" s="3"/>
      <c r="I8" s="3"/>
    </row>
    <row r="9" spans="5:12" x14ac:dyDescent="0.25">
      <c r="E9" t="s">
        <v>235</v>
      </c>
      <c r="G9" s="3"/>
      <c r="H9" s="3">
        <v>9784000</v>
      </c>
      <c r="I9" s="3">
        <v>9784000</v>
      </c>
    </row>
    <row r="10" spans="5:12" x14ac:dyDescent="0.25">
      <c r="E10" t="s">
        <v>236</v>
      </c>
      <c r="G10" s="79">
        <v>19568000</v>
      </c>
      <c r="H10" s="3">
        <f>H5-H9</f>
        <v>9784000</v>
      </c>
      <c r="I10" s="3">
        <f>I5-I9</f>
        <v>0</v>
      </c>
    </row>
    <row r="11" spans="5:12" x14ac:dyDescent="0.25">
      <c r="F11" t="s">
        <v>237</v>
      </c>
      <c r="G11" s="3">
        <f>G10/2</f>
        <v>9784000</v>
      </c>
      <c r="H11" s="3">
        <f>H10</f>
        <v>9784000</v>
      </c>
      <c r="I11" s="3"/>
    </row>
    <row r="12" spans="5:12" x14ac:dyDescent="0.25">
      <c r="F12" t="s">
        <v>238</v>
      </c>
      <c r="G12" s="3">
        <f>G10/2</f>
        <v>9784000</v>
      </c>
      <c r="H12" s="3"/>
      <c r="I12" s="3"/>
    </row>
    <row r="15" spans="5:12" x14ac:dyDescent="0.25">
      <c r="G15" s="35">
        <f>G10*2</f>
        <v>39136000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8"/>
  <sheetViews>
    <sheetView workbookViewId="0">
      <pane xSplit="2" ySplit="6" topLeftCell="C18" activePane="bottomRight" state="frozen"/>
      <selection pane="topRight" activeCell="C1" sqref="C1"/>
      <selection pane="bottomLeft" activeCell="A7" sqref="A7"/>
      <selection pane="bottomRight" activeCell="H27" sqref="H27"/>
    </sheetView>
  </sheetViews>
  <sheetFormatPr defaultRowHeight="15" x14ac:dyDescent="0.25"/>
  <cols>
    <col min="1" max="1" width="2.85546875" style="85" customWidth="1"/>
    <col min="2" max="2" width="47" style="81" customWidth="1"/>
    <col min="3" max="4" width="12.42578125" style="85" customWidth="1"/>
    <col min="5" max="6" width="12.42578125" style="108" customWidth="1"/>
    <col min="7" max="7" width="12.42578125" style="85" customWidth="1"/>
    <col min="8" max="8" width="11.5703125" style="85" bestFit="1" customWidth="1"/>
    <col min="9" max="16384" width="9.140625" style="85"/>
  </cols>
  <sheetData>
    <row r="1" spans="1:30" ht="20.25" customHeight="1" x14ac:dyDescent="0.25">
      <c r="A1" s="80" t="str">
        <f>Cover!A2</f>
        <v>OJ LIMITED</v>
      </c>
      <c r="C1" s="82"/>
      <c r="D1" s="82"/>
      <c r="E1" s="83"/>
      <c r="F1" s="83"/>
      <c r="G1" s="116" t="str">
        <f>BalSheet!C35</f>
        <v>error check</v>
      </c>
      <c r="H1" s="116">
        <f>BalSheet!D35</f>
        <v>0</v>
      </c>
      <c r="I1" s="116">
        <f>BalSheet!E35</f>
        <v>0</v>
      </c>
      <c r="J1" s="116">
        <f>BalSheet!F35</f>
        <v>0</v>
      </c>
      <c r="K1" s="116">
        <f>BalSheet!G35</f>
        <v>0</v>
      </c>
      <c r="L1" s="116">
        <f>BalSheet!H35</f>
        <v>0</v>
      </c>
      <c r="M1" s="116">
        <f>BalSheet!I35</f>
        <v>0</v>
      </c>
      <c r="N1" s="26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</row>
    <row r="2" spans="1:30" ht="13.5" customHeight="1" x14ac:dyDescent="0.25">
      <c r="A2" s="86" t="s">
        <v>1</v>
      </c>
      <c r="C2" s="84"/>
      <c r="D2" s="84"/>
      <c r="E2" s="87"/>
      <c r="F2" s="87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</row>
    <row r="3" spans="1:30" ht="13.5" customHeight="1" x14ac:dyDescent="0.25">
      <c r="A3" s="80"/>
      <c r="C3" s="84"/>
      <c r="D3" s="84"/>
      <c r="E3" s="87"/>
      <c r="F3" s="87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1:30" s="88" customFormat="1" ht="13.5" customHeight="1" x14ac:dyDescent="0.25">
      <c r="C4" s="89"/>
      <c r="D4" s="89"/>
      <c r="E4" s="90"/>
      <c r="F4" s="90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s="88" customFormat="1" ht="28.5" customHeight="1" x14ac:dyDescent="0.25">
      <c r="A5" s="86"/>
      <c r="B5" s="91" t="s">
        <v>239</v>
      </c>
      <c r="D5" s="112" t="s">
        <v>184</v>
      </c>
      <c r="E5" s="92"/>
      <c r="F5" s="92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0" ht="26.25" x14ac:dyDescent="0.25">
      <c r="B6" s="93"/>
      <c r="C6" s="114"/>
      <c r="D6" s="114" t="s">
        <v>184</v>
      </c>
      <c r="E6" s="115" t="s">
        <v>183</v>
      </c>
      <c r="F6" s="115" t="s">
        <v>185</v>
      </c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1:30" x14ac:dyDescent="0.25">
      <c r="A7" s="86" t="s">
        <v>21</v>
      </c>
      <c r="C7" s="177"/>
      <c r="D7" s="114"/>
      <c r="E7" s="115"/>
      <c r="F7" s="115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1:30" x14ac:dyDescent="0.25">
      <c r="A8" s="94" t="s">
        <v>35</v>
      </c>
      <c r="C8" s="84"/>
      <c r="D8" s="170"/>
      <c r="E8" s="115"/>
      <c r="F8" s="115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spans="1:30" ht="16.5" customHeight="1" x14ac:dyDescent="0.25">
      <c r="B9" s="93" t="s">
        <v>31</v>
      </c>
      <c r="C9" s="178">
        <f>HLOOKUP($D$5,$D$6:$F$53,4,0)</f>
        <v>10000</v>
      </c>
      <c r="D9" s="171">
        <v>10000</v>
      </c>
      <c r="E9" s="113">
        <v>20000</v>
      </c>
      <c r="F9" s="113">
        <v>30000</v>
      </c>
      <c r="G9" s="95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x14ac:dyDescent="0.25">
      <c r="B10" s="93" t="s">
        <v>97</v>
      </c>
      <c r="C10" s="98">
        <f>HLOOKUP($D$5,$D$6:$F$53,5,0)</f>
        <v>2.5000000000000001E-3</v>
      </c>
      <c r="D10" s="172">
        <v>2.5000000000000001E-3</v>
      </c>
      <c r="E10" s="1">
        <v>4.1999999999999997E-3</v>
      </c>
      <c r="F10" s="1">
        <v>5.7999999999999996E-3</v>
      </c>
      <c r="G10" s="96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x14ac:dyDescent="0.25">
      <c r="B11" s="93" t="s">
        <v>3</v>
      </c>
      <c r="C11" s="101">
        <f>HLOOKUP($D$5,$D$6:$F$53,6,0)</f>
        <v>550</v>
      </c>
      <c r="D11" s="173">
        <v>550</v>
      </c>
      <c r="E11" s="4">
        <v>600</v>
      </c>
      <c r="F11" s="4">
        <v>650</v>
      </c>
      <c r="G11" s="97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</row>
    <row r="12" spans="1:30" x14ac:dyDescent="0.25">
      <c r="B12" s="93" t="s">
        <v>4</v>
      </c>
      <c r="C12" s="98">
        <f>HLOOKUP($D$5,$D$6:$F$53,7,0)</f>
        <v>0</v>
      </c>
      <c r="D12" s="172">
        <v>0</v>
      </c>
      <c r="E12" s="1">
        <v>0</v>
      </c>
      <c r="F12" s="1">
        <v>0</v>
      </c>
      <c r="G12" s="96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</row>
    <row r="13" spans="1:30" x14ac:dyDescent="0.25">
      <c r="A13" s="100" t="s">
        <v>36</v>
      </c>
      <c r="B13" s="93"/>
      <c r="C13" s="98"/>
      <c r="D13" s="96"/>
      <c r="E13" s="99"/>
      <c r="F13" s="99"/>
      <c r="G13" s="96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</row>
    <row r="14" spans="1:30" x14ac:dyDescent="0.25">
      <c r="A14" s="100"/>
      <c r="B14" s="93" t="s">
        <v>355</v>
      </c>
      <c r="C14" s="181">
        <f>HLOOKUP($D$5,$D$6:$F$53,9,0)</f>
        <v>7.4999999999999997E-3</v>
      </c>
      <c r="D14" s="179">
        <v>7.4999999999999997E-3</v>
      </c>
      <c r="E14" s="180">
        <v>7.4999999999999997E-3</v>
      </c>
      <c r="F14" s="180">
        <v>7.4999999999999997E-3</v>
      </c>
      <c r="G14" s="96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</row>
    <row r="15" spans="1:30" x14ac:dyDescent="0.25">
      <c r="A15" s="100"/>
      <c r="B15" s="93" t="s">
        <v>357</v>
      </c>
      <c r="C15" s="207">
        <f>HLOOKUP($D$5,$D$6:$F$53,10,0)</f>
        <v>4000</v>
      </c>
      <c r="D15" s="208">
        <v>4000</v>
      </c>
      <c r="E15" s="209">
        <v>8000</v>
      </c>
      <c r="F15" s="209">
        <v>15000</v>
      </c>
      <c r="G15" s="96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</row>
    <row r="16" spans="1:30" x14ac:dyDescent="0.25">
      <c r="A16" s="100"/>
      <c r="B16" s="93" t="s">
        <v>356</v>
      </c>
      <c r="C16" s="98">
        <f>HLOOKUP($D$5,$D$6:$F$53,11,0)</f>
        <v>2.5000000000000001E-3</v>
      </c>
      <c r="D16" s="172">
        <v>2.5000000000000001E-3</v>
      </c>
      <c r="E16" s="1">
        <v>4.1999999999999997E-3</v>
      </c>
      <c r="F16" s="1">
        <v>5.7999999999999996E-3</v>
      </c>
      <c r="G16" s="96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1:30" x14ac:dyDescent="0.25">
      <c r="A17" s="100"/>
      <c r="B17" s="93"/>
      <c r="C17" s="98"/>
      <c r="D17" s="96"/>
      <c r="E17" s="99"/>
      <c r="F17" s="99"/>
      <c r="G17" s="96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1:30" x14ac:dyDescent="0.25">
      <c r="A18" s="102" t="s">
        <v>102</v>
      </c>
      <c r="B18" s="85"/>
      <c r="C18" s="98"/>
      <c r="D18" s="96"/>
      <c r="E18" s="99"/>
      <c r="F18" s="99"/>
      <c r="G18" s="96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1:30" x14ac:dyDescent="0.25">
      <c r="A19" s="100"/>
      <c r="B19" s="93" t="s">
        <v>186</v>
      </c>
      <c r="C19" s="101">
        <f>HLOOKUP($D$5,$D$6:$F$53,14,0)</f>
        <v>40</v>
      </c>
      <c r="D19" s="173">
        <v>40</v>
      </c>
      <c r="E19" s="4">
        <v>50</v>
      </c>
      <c r="F19" s="4">
        <v>60</v>
      </c>
      <c r="G19" s="96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1:30" x14ac:dyDescent="0.25">
      <c r="A20" s="100"/>
      <c r="B20" s="93" t="s">
        <v>101</v>
      </c>
      <c r="C20" s="98">
        <f>HLOOKUP($D$5,$D$6:$F$53,15,0)</f>
        <v>6.7000000000000002E-3</v>
      </c>
      <c r="D20" s="172">
        <v>6.7000000000000002E-3</v>
      </c>
      <c r="E20" s="1">
        <v>8.3000000000000001E-3</v>
      </c>
      <c r="F20" s="1">
        <v>0.01</v>
      </c>
      <c r="G20" s="96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1:30" x14ac:dyDescent="0.25">
      <c r="A21" s="100"/>
      <c r="B21" s="93" t="s">
        <v>99</v>
      </c>
      <c r="C21" s="107">
        <f>HLOOKUP($D$5,$D$6:$F$53,16,0)</f>
        <v>0</v>
      </c>
      <c r="D21" s="174"/>
      <c r="E21" s="2"/>
      <c r="F21" s="2"/>
      <c r="G21" s="96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x14ac:dyDescent="0.25">
      <c r="A22" s="100"/>
      <c r="B22" s="93"/>
      <c r="C22" s="98"/>
      <c r="D22" s="96"/>
      <c r="E22" s="99"/>
      <c r="F22" s="99"/>
      <c r="G22" s="96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1:30" x14ac:dyDescent="0.25">
      <c r="A23" s="102" t="s">
        <v>103</v>
      </c>
      <c r="B23" s="85"/>
      <c r="C23" s="98"/>
      <c r="D23" s="96"/>
      <c r="E23" s="99"/>
      <c r="F23" s="99"/>
      <c r="G23" s="96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1:30" x14ac:dyDescent="0.25">
      <c r="A24" s="100"/>
      <c r="B24" s="93" t="s">
        <v>104</v>
      </c>
      <c r="C24" s="98">
        <f>HLOOKUP($D$5,$D$6:$F$53,19,0)</f>
        <v>0</v>
      </c>
      <c r="D24" s="172"/>
      <c r="E24" s="1"/>
      <c r="F24" s="1"/>
      <c r="G24" s="96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1:30" x14ac:dyDescent="0.25">
      <c r="A25" s="100"/>
      <c r="B25" s="93" t="s">
        <v>105</v>
      </c>
      <c r="C25" s="98">
        <f>HLOOKUP($D$5,$D$6:$F$53,20,0)</f>
        <v>0</v>
      </c>
      <c r="D25" s="172"/>
      <c r="E25" s="1"/>
      <c r="F25" s="1"/>
      <c r="G25" s="96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1:30" x14ac:dyDescent="0.25">
      <c r="B26" s="93" t="s">
        <v>106</v>
      </c>
      <c r="C26" s="98">
        <f>HLOOKUP($D$5,$D$6:$F$53,21,0)</f>
        <v>0</v>
      </c>
      <c r="D26" s="172"/>
      <c r="E26" s="1"/>
      <c r="F26" s="1"/>
      <c r="G26" s="96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</row>
    <row r="27" spans="1:30" x14ac:dyDescent="0.25">
      <c r="B27" s="93"/>
      <c r="C27" s="98"/>
      <c r="D27" s="96"/>
      <c r="E27" s="99"/>
      <c r="F27" s="99"/>
      <c r="G27" s="96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  <row r="28" spans="1:30" x14ac:dyDescent="0.25">
      <c r="B28" s="93"/>
      <c r="C28" s="84"/>
      <c r="D28" s="84"/>
      <c r="E28" s="87"/>
      <c r="F28" s="87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</row>
    <row r="29" spans="1:30" x14ac:dyDescent="0.25">
      <c r="A29" s="103" t="s">
        <v>240</v>
      </c>
      <c r="B29" s="85"/>
      <c r="C29" s="84"/>
      <c r="D29" s="84"/>
      <c r="E29" s="87"/>
      <c r="F29" s="87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</row>
    <row r="30" spans="1:30" x14ac:dyDescent="0.25">
      <c r="B30" s="93" t="s">
        <v>5</v>
      </c>
      <c r="C30" s="104">
        <f>HLOOKUP($D$5,$D$6:$F$53,25,0)</f>
        <v>500</v>
      </c>
      <c r="D30" s="175">
        <v>500</v>
      </c>
      <c r="E30" s="109">
        <v>450</v>
      </c>
      <c r="F30" s="109">
        <v>400</v>
      </c>
      <c r="G30" s="97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</row>
    <row r="31" spans="1:30" x14ac:dyDescent="0.25">
      <c r="B31" s="93" t="s">
        <v>22</v>
      </c>
      <c r="C31" s="181">
        <f>HLOOKUP($D$5,$D$6:$F$53,26,0)</f>
        <v>2.5000000000000001E-3</v>
      </c>
      <c r="D31" s="179">
        <v>2.5000000000000001E-3</v>
      </c>
      <c r="E31" s="180">
        <v>4.1999999999999997E-3</v>
      </c>
      <c r="F31" s="180">
        <v>5.7999999999999996E-3</v>
      </c>
      <c r="G31" s="97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</row>
    <row r="32" spans="1:30" x14ac:dyDescent="0.25">
      <c r="B32" s="93"/>
      <c r="C32" s="84"/>
      <c r="D32" s="84"/>
      <c r="E32" s="87"/>
      <c r="F32" s="87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</row>
    <row r="33" spans="1:30" ht="15.75" x14ac:dyDescent="0.25">
      <c r="A33" s="80" t="s">
        <v>241</v>
      </c>
      <c r="B33" s="85"/>
      <c r="C33" s="84"/>
      <c r="D33" s="84"/>
      <c r="E33" s="87"/>
      <c r="F33" s="87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</row>
    <row r="34" spans="1:30" x14ac:dyDescent="0.25">
      <c r="A34" s="102" t="s">
        <v>6</v>
      </c>
      <c r="B34" s="85"/>
      <c r="C34" s="84"/>
      <c r="D34" s="84"/>
      <c r="E34" s="87"/>
      <c r="F34" s="87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</row>
    <row r="35" spans="1:30" x14ac:dyDescent="0.25">
      <c r="B35" s="93" t="s">
        <v>156</v>
      </c>
      <c r="C35" s="105">
        <v>2500000</v>
      </c>
      <c r="D35" s="176"/>
      <c r="E35" s="110"/>
      <c r="F35" s="110"/>
      <c r="G35" s="97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</row>
    <row r="36" spans="1:30" x14ac:dyDescent="0.25">
      <c r="B36" s="93" t="s">
        <v>25</v>
      </c>
      <c r="C36" s="107">
        <v>0.25</v>
      </c>
      <c r="D36" s="176"/>
      <c r="E36" s="110"/>
      <c r="F36" s="110"/>
      <c r="G36" s="97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</row>
    <row r="37" spans="1:30" x14ac:dyDescent="0.25">
      <c r="B37" s="93" t="s">
        <v>7</v>
      </c>
      <c r="C37" s="98">
        <v>0.05</v>
      </c>
      <c r="D37" s="172"/>
      <c r="E37" s="1"/>
      <c r="F37" s="1"/>
      <c r="G37" s="96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</row>
    <row r="38" spans="1:30" x14ac:dyDescent="0.25">
      <c r="A38" s="102" t="s">
        <v>8</v>
      </c>
      <c r="B38" s="85"/>
      <c r="C38" s="84"/>
      <c r="D38" s="84"/>
      <c r="E38" s="87"/>
      <c r="F38" s="8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</row>
    <row r="39" spans="1:30" x14ac:dyDescent="0.25">
      <c r="B39" s="93" t="s">
        <v>9</v>
      </c>
      <c r="C39" s="105">
        <v>2000000</v>
      </c>
      <c r="D39" s="176"/>
      <c r="E39" s="110"/>
      <c r="F39" s="110"/>
      <c r="G39" s="97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</row>
    <row r="40" spans="1:30" x14ac:dyDescent="0.25">
      <c r="B40" s="93" t="s">
        <v>10</v>
      </c>
      <c r="C40" s="107">
        <v>0.1</v>
      </c>
      <c r="D40" s="172"/>
      <c r="E40" s="1"/>
      <c r="F40" s="1"/>
      <c r="G40" s="96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</row>
    <row r="41" spans="1:30" x14ac:dyDescent="0.25">
      <c r="A41" s="102" t="s">
        <v>11</v>
      </c>
      <c r="B41" s="85"/>
      <c r="C41" s="84"/>
      <c r="D41" s="84"/>
      <c r="E41" s="87"/>
      <c r="F41" s="87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</row>
    <row r="42" spans="1:30" x14ac:dyDescent="0.25">
      <c r="B42" s="93" t="s">
        <v>23</v>
      </c>
      <c r="C42" s="111">
        <v>7200000</v>
      </c>
      <c r="D42" s="110"/>
      <c r="E42" s="110"/>
      <c r="F42" s="110"/>
      <c r="G42" s="97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</row>
    <row r="43" spans="1:30" x14ac:dyDescent="0.25">
      <c r="B43" s="93" t="s">
        <v>12</v>
      </c>
      <c r="C43" s="2">
        <v>0.03</v>
      </c>
      <c r="D43" s="1"/>
      <c r="E43" s="1"/>
      <c r="F43" s="1"/>
      <c r="G43" s="96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</row>
    <row r="44" spans="1:30" x14ac:dyDescent="0.25">
      <c r="A44" s="102" t="s">
        <v>13</v>
      </c>
      <c r="B44" s="85"/>
      <c r="C44" s="84"/>
      <c r="D44" s="84"/>
      <c r="E44" s="87"/>
      <c r="F44" s="87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</row>
    <row r="45" spans="1:30" x14ac:dyDescent="0.25">
      <c r="B45" s="93" t="s">
        <v>14</v>
      </c>
      <c r="C45" s="111">
        <v>150000</v>
      </c>
      <c r="D45" s="110"/>
      <c r="E45" s="110"/>
      <c r="F45" s="110"/>
      <c r="G45" s="97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</row>
    <row r="46" spans="1:30" x14ac:dyDescent="0.25">
      <c r="B46" s="93" t="s">
        <v>24</v>
      </c>
      <c r="C46" s="1">
        <v>0.02</v>
      </c>
      <c r="D46" s="1"/>
      <c r="E46" s="1"/>
      <c r="F46" s="1"/>
      <c r="G46" s="96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</row>
    <row r="47" spans="1:30" x14ac:dyDescent="0.25">
      <c r="B47" s="93"/>
      <c r="C47" s="84"/>
      <c r="D47" s="84"/>
      <c r="E47" s="87"/>
      <c r="F47" s="87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</row>
    <row r="48" spans="1:30" x14ac:dyDescent="0.25">
      <c r="B48" s="93" t="s">
        <v>15</v>
      </c>
      <c r="C48" s="111">
        <v>360000</v>
      </c>
      <c r="D48" s="110"/>
      <c r="E48" s="110"/>
      <c r="F48" s="110"/>
      <c r="G48" s="97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</row>
    <row r="49" spans="1:30" x14ac:dyDescent="0.25">
      <c r="B49" s="93" t="s">
        <v>15</v>
      </c>
      <c r="C49" s="2">
        <v>0.02</v>
      </c>
      <c r="D49" s="1"/>
      <c r="E49" s="1"/>
      <c r="F49" s="1"/>
      <c r="G49" s="96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</row>
    <row r="50" spans="1:30" x14ac:dyDescent="0.25">
      <c r="B50" s="93"/>
      <c r="C50" s="84"/>
      <c r="D50" s="84"/>
      <c r="E50" s="87"/>
      <c r="F50" s="87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</row>
    <row r="51" spans="1:30" x14ac:dyDescent="0.25">
      <c r="B51" s="93" t="s">
        <v>27</v>
      </c>
      <c r="C51" s="2">
        <v>0.2</v>
      </c>
      <c r="D51" s="110"/>
      <c r="E51" s="110"/>
      <c r="F51" s="110"/>
      <c r="G51" s="97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</row>
    <row r="52" spans="1:30" x14ac:dyDescent="0.25">
      <c r="B52" s="93" t="s">
        <v>26</v>
      </c>
      <c r="C52" s="2">
        <v>0.3</v>
      </c>
      <c r="D52" s="1"/>
      <c r="E52" s="1"/>
      <c r="F52" s="1"/>
      <c r="G52" s="96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</row>
    <row r="53" spans="1:30" x14ac:dyDescent="0.25">
      <c r="B53" s="93"/>
      <c r="C53" s="84"/>
      <c r="D53" s="84"/>
      <c r="E53" s="87"/>
      <c r="F53" s="87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</row>
    <row r="54" spans="1:30" ht="15.75" x14ac:dyDescent="0.25">
      <c r="A54" s="80" t="s">
        <v>16</v>
      </c>
      <c r="B54" s="85"/>
      <c r="C54" s="84"/>
      <c r="D54" s="84"/>
      <c r="E54" s="87"/>
      <c r="F54" s="87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</row>
    <row r="55" spans="1:30" x14ac:dyDescent="0.25">
      <c r="B55" s="93" t="s">
        <v>17</v>
      </c>
      <c r="C55" s="97"/>
      <c r="D55" s="97"/>
      <c r="E55" s="106"/>
      <c r="F55" s="106"/>
      <c r="G55" s="97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</row>
    <row r="56" spans="1:30" x14ac:dyDescent="0.25">
      <c r="B56" s="93"/>
      <c r="C56" s="84"/>
      <c r="D56" s="84"/>
      <c r="E56" s="87"/>
      <c r="F56" s="87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</row>
    <row r="57" spans="1:30" ht="15.75" x14ac:dyDescent="0.25">
      <c r="A57" s="80" t="s">
        <v>18</v>
      </c>
      <c r="B57" s="85"/>
      <c r="C57" s="84"/>
      <c r="D57" s="84"/>
      <c r="E57" s="87"/>
      <c r="F57" s="87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</row>
    <row r="58" spans="1:30" x14ac:dyDescent="0.25">
      <c r="B58" s="93" t="s">
        <v>19</v>
      </c>
      <c r="C58" s="96">
        <v>0</v>
      </c>
      <c r="D58" s="96"/>
      <c r="E58" s="99"/>
      <c r="F58" s="99"/>
      <c r="G58" s="96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</row>
    <row r="59" spans="1:30" x14ac:dyDescent="0.25">
      <c r="B59" s="93" t="s">
        <v>20</v>
      </c>
      <c r="C59" s="96">
        <v>1</v>
      </c>
      <c r="D59" s="96"/>
      <c r="E59" s="99"/>
      <c r="F59" s="99"/>
      <c r="G59" s="96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</row>
    <row r="60" spans="1:30" x14ac:dyDescent="0.25">
      <c r="B60" s="93"/>
      <c r="C60" s="84"/>
      <c r="D60" s="84"/>
      <c r="E60" s="87"/>
      <c r="F60" s="87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</row>
    <row r="61" spans="1:30" x14ac:dyDescent="0.25">
      <c r="B61" s="93" t="s">
        <v>256</v>
      </c>
      <c r="C61" s="148">
        <v>100000000</v>
      </c>
      <c r="D61" s="84"/>
      <c r="E61" s="87"/>
      <c r="F61" s="87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</row>
    <row r="62" spans="1:30" x14ac:dyDescent="0.25">
      <c r="B62" s="93"/>
      <c r="C62" s="84"/>
      <c r="D62" s="84"/>
      <c r="E62" s="87"/>
      <c r="F62" s="87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</row>
    <row r="63" spans="1:30" x14ac:dyDescent="0.25">
      <c r="B63" s="93"/>
      <c r="C63" s="84"/>
      <c r="D63" s="84"/>
      <c r="E63" s="87"/>
      <c r="F63" s="87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</row>
    <row r="64" spans="1:30" x14ac:dyDescent="0.25">
      <c r="B64" s="93"/>
      <c r="C64" s="84"/>
      <c r="D64" s="84"/>
      <c r="E64" s="87"/>
      <c r="F64" s="87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</row>
    <row r="65" spans="2:30" x14ac:dyDescent="0.25">
      <c r="B65" s="93"/>
      <c r="C65" s="84"/>
      <c r="D65" s="84"/>
      <c r="E65" s="87"/>
      <c r="F65" s="87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</row>
    <row r="66" spans="2:30" x14ac:dyDescent="0.25">
      <c r="B66" s="93"/>
      <c r="C66" s="84"/>
      <c r="D66" s="84"/>
      <c r="E66" s="87"/>
      <c r="F66" s="87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</row>
    <row r="67" spans="2:30" x14ac:dyDescent="0.25">
      <c r="B67" s="93"/>
      <c r="C67" s="84"/>
      <c r="D67" s="84"/>
      <c r="E67" s="87"/>
      <c r="F67" s="87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</row>
    <row r="68" spans="2:30" x14ac:dyDescent="0.25">
      <c r="B68" s="93"/>
      <c r="C68" s="147"/>
      <c r="D68" s="84"/>
      <c r="E68" s="87"/>
      <c r="F68" s="87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</row>
    <row r="69" spans="2:30" x14ac:dyDescent="0.25">
      <c r="B69" s="93"/>
      <c r="C69" s="84"/>
      <c r="D69" s="84"/>
      <c r="E69" s="87"/>
      <c r="F69" s="87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</row>
    <row r="70" spans="2:30" x14ac:dyDescent="0.25">
      <c r="B70" s="93"/>
      <c r="C70" s="84"/>
      <c r="D70" s="84"/>
      <c r="E70" s="87"/>
      <c r="F70" s="87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</row>
    <row r="71" spans="2:30" x14ac:dyDescent="0.25">
      <c r="B71" s="93"/>
      <c r="C71" s="84"/>
      <c r="D71" s="84"/>
      <c r="E71" s="87"/>
      <c r="F71" s="87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</row>
    <row r="72" spans="2:30" x14ac:dyDescent="0.25">
      <c r="B72" s="93"/>
      <c r="C72" s="84"/>
      <c r="D72" s="84"/>
      <c r="E72" s="87"/>
      <c r="F72" s="87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</row>
    <row r="73" spans="2:30" x14ac:dyDescent="0.25">
      <c r="B73" s="93"/>
      <c r="C73" s="84"/>
      <c r="D73" s="84"/>
      <c r="E73" s="87"/>
      <c r="F73" s="87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</row>
    <row r="74" spans="2:30" x14ac:dyDescent="0.25">
      <c r="B74" s="93"/>
      <c r="C74" s="84"/>
      <c r="D74" s="84"/>
      <c r="E74" s="87"/>
      <c r="F74" s="87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</row>
    <row r="75" spans="2:30" x14ac:dyDescent="0.25">
      <c r="B75" s="93"/>
      <c r="C75" s="84"/>
      <c r="D75" s="84"/>
      <c r="E75" s="87"/>
      <c r="F75" s="87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</row>
    <row r="76" spans="2:30" x14ac:dyDescent="0.25">
      <c r="B76" s="93"/>
      <c r="C76" s="84"/>
      <c r="D76" s="84"/>
      <c r="E76" s="87"/>
      <c r="F76" s="87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</row>
    <row r="77" spans="2:30" x14ac:dyDescent="0.25">
      <c r="B77" s="93"/>
      <c r="C77" s="84"/>
      <c r="D77" s="84"/>
      <c r="E77" s="87"/>
      <c r="F77" s="87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</row>
    <row r="78" spans="2:30" x14ac:dyDescent="0.25">
      <c r="B78" s="93"/>
      <c r="C78" s="84"/>
      <c r="D78" s="84"/>
      <c r="E78" s="87"/>
      <c r="F78" s="87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</row>
    <row r="79" spans="2:30" x14ac:dyDescent="0.25">
      <c r="B79" s="93"/>
      <c r="C79" s="84"/>
      <c r="D79" s="84"/>
      <c r="E79" s="87"/>
      <c r="F79" s="87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</row>
    <row r="80" spans="2:30" x14ac:dyDescent="0.25">
      <c r="B80" s="93"/>
      <c r="C80" s="84"/>
      <c r="D80" s="84"/>
      <c r="E80" s="87"/>
      <c r="F80" s="87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</row>
    <row r="81" spans="2:30" x14ac:dyDescent="0.25">
      <c r="B81" s="93"/>
      <c r="C81" s="84"/>
      <c r="D81" s="84"/>
      <c r="E81" s="87"/>
      <c r="F81" s="87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</row>
    <row r="82" spans="2:30" x14ac:dyDescent="0.25">
      <c r="B82" s="93"/>
      <c r="C82" s="84"/>
      <c r="D82" s="84"/>
      <c r="E82" s="87"/>
      <c r="F82" s="87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</row>
    <row r="83" spans="2:30" x14ac:dyDescent="0.25">
      <c r="B83" s="93"/>
      <c r="C83" s="84"/>
      <c r="D83" s="84"/>
      <c r="E83" s="87"/>
      <c r="F83" s="87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</row>
    <row r="84" spans="2:30" x14ac:dyDescent="0.25">
      <c r="B84" s="93"/>
      <c r="C84" s="84"/>
      <c r="D84" s="84"/>
      <c r="E84" s="87"/>
      <c r="F84" s="87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</row>
    <row r="85" spans="2:30" x14ac:dyDescent="0.25">
      <c r="B85" s="93"/>
      <c r="C85" s="84"/>
      <c r="D85" s="84"/>
      <c r="E85" s="87"/>
      <c r="F85" s="87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</row>
    <row r="86" spans="2:30" x14ac:dyDescent="0.25">
      <c r="B86" s="93"/>
      <c r="C86" s="84"/>
      <c r="D86" s="84"/>
      <c r="E86" s="87"/>
      <c r="F86" s="87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</row>
    <row r="87" spans="2:30" x14ac:dyDescent="0.25">
      <c r="B87" s="93"/>
      <c r="C87" s="84"/>
      <c r="D87" s="84"/>
      <c r="E87" s="87"/>
      <c r="F87" s="87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</row>
    <row r="88" spans="2:30" x14ac:dyDescent="0.25">
      <c r="B88" s="93"/>
      <c r="C88" s="84"/>
      <c r="D88" s="84"/>
      <c r="E88" s="87"/>
      <c r="F88" s="87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</row>
    <row r="89" spans="2:30" x14ac:dyDescent="0.25">
      <c r="B89" s="93"/>
      <c r="C89" s="84"/>
      <c r="D89" s="84"/>
      <c r="E89" s="87"/>
      <c r="F89" s="87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</row>
    <row r="90" spans="2:30" x14ac:dyDescent="0.25">
      <c r="B90" s="93"/>
      <c r="C90" s="84"/>
      <c r="D90" s="84"/>
      <c r="E90" s="87"/>
      <c r="F90" s="87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</row>
    <row r="91" spans="2:30" x14ac:dyDescent="0.25">
      <c r="B91" s="93"/>
      <c r="C91" s="84"/>
      <c r="D91" s="84"/>
      <c r="E91" s="87"/>
      <c r="F91" s="87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</row>
    <row r="92" spans="2:30" x14ac:dyDescent="0.25">
      <c r="B92" s="93"/>
      <c r="C92" s="84"/>
      <c r="D92" s="84"/>
      <c r="E92" s="87"/>
      <c r="F92" s="87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</row>
    <row r="93" spans="2:30" x14ac:dyDescent="0.25">
      <c r="B93" s="93"/>
      <c r="C93" s="84"/>
      <c r="D93" s="84"/>
      <c r="E93" s="87"/>
      <c r="F93" s="87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</row>
    <row r="94" spans="2:30" x14ac:dyDescent="0.25">
      <c r="B94" s="93"/>
      <c r="C94" s="84"/>
      <c r="D94" s="84"/>
      <c r="E94" s="87"/>
      <c r="F94" s="87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</row>
    <row r="95" spans="2:30" x14ac:dyDescent="0.25">
      <c r="B95" s="93"/>
      <c r="C95" s="84"/>
      <c r="D95" s="84"/>
      <c r="E95" s="87"/>
      <c r="F95" s="87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</row>
    <row r="96" spans="2:30" x14ac:dyDescent="0.25">
      <c r="B96" s="93"/>
      <c r="C96" s="84"/>
      <c r="D96" s="84"/>
      <c r="E96" s="87"/>
      <c r="F96" s="87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</row>
    <row r="97" spans="2:30" x14ac:dyDescent="0.25">
      <c r="B97" s="93"/>
      <c r="C97" s="84"/>
      <c r="D97" s="84"/>
      <c r="E97" s="87"/>
      <c r="F97" s="87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2:30" x14ac:dyDescent="0.25">
      <c r="B98" s="93"/>
      <c r="C98" s="84"/>
      <c r="D98" s="84"/>
      <c r="E98" s="87"/>
      <c r="F98" s="87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2:30" x14ac:dyDescent="0.25">
      <c r="B99" s="93"/>
      <c r="C99" s="84"/>
      <c r="D99" s="84"/>
      <c r="E99" s="87"/>
      <c r="F99" s="87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2:30" x14ac:dyDescent="0.25">
      <c r="B100" s="93"/>
      <c r="C100" s="84"/>
      <c r="D100" s="84"/>
      <c r="E100" s="87"/>
      <c r="F100" s="87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2:30" x14ac:dyDescent="0.25">
      <c r="B101" s="93"/>
      <c r="C101" s="84"/>
      <c r="D101" s="84"/>
      <c r="E101" s="87"/>
      <c r="F101" s="87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2:30" x14ac:dyDescent="0.25">
      <c r="B102" s="93"/>
      <c r="C102" s="84"/>
      <c r="D102" s="84"/>
      <c r="E102" s="87"/>
      <c r="F102" s="87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2:30" x14ac:dyDescent="0.25">
      <c r="B103" s="93"/>
      <c r="C103" s="84"/>
      <c r="D103" s="84"/>
      <c r="E103" s="87"/>
      <c r="F103" s="87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2:30" x14ac:dyDescent="0.25">
      <c r="B104" s="93"/>
      <c r="C104" s="84"/>
      <c r="D104" s="84"/>
      <c r="E104" s="87"/>
      <c r="F104" s="87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2:30" x14ac:dyDescent="0.25">
      <c r="B105" s="93"/>
      <c r="C105" s="84"/>
      <c r="D105" s="84"/>
      <c r="E105" s="87"/>
      <c r="F105" s="87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2:30" x14ac:dyDescent="0.25">
      <c r="B106" s="93"/>
      <c r="C106" s="84"/>
      <c r="D106" s="84"/>
      <c r="E106" s="87"/>
      <c r="F106" s="87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2:30" x14ac:dyDescent="0.25">
      <c r="B107" s="93"/>
      <c r="C107" s="84"/>
      <c r="D107" s="84"/>
      <c r="E107" s="87"/>
      <c r="F107" s="87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</row>
    <row r="108" spans="2:30" x14ac:dyDescent="0.25">
      <c r="B108" s="93"/>
      <c r="C108" s="84"/>
      <c r="D108" s="84"/>
      <c r="E108" s="87"/>
      <c r="F108" s="87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</row>
    <row r="109" spans="2:30" x14ac:dyDescent="0.25">
      <c r="B109" s="93"/>
      <c r="C109" s="84"/>
      <c r="D109" s="84"/>
      <c r="E109" s="87"/>
      <c r="F109" s="87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</row>
    <row r="110" spans="2:30" x14ac:dyDescent="0.25">
      <c r="B110" s="93"/>
      <c r="C110" s="84"/>
      <c r="D110" s="84"/>
      <c r="E110" s="87"/>
      <c r="F110" s="87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</row>
    <row r="111" spans="2:30" x14ac:dyDescent="0.25">
      <c r="B111" s="93"/>
      <c r="C111" s="84"/>
      <c r="D111" s="84"/>
      <c r="E111" s="87"/>
      <c r="F111" s="87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</row>
    <row r="112" spans="2:30" x14ac:dyDescent="0.25">
      <c r="B112" s="93"/>
      <c r="C112" s="84"/>
      <c r="D112" s="84"/>
      <c r="E112" s="87"/>
      <c r="F112" s="87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</row>
    <row r="113" spans="2:30" x14ac:dyDescent="0.25">
      <c r="B113" s="93"/>
      <c r="C113" s="84"/>
      <c r="D113" s="84"/>
      <c r="E113" s="87"/>
      <c r="F113" s="87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</row>
    <row r="114" spans="2:30" x14ac:dyDescent="0.25">
      <c r="B114" s="93"/>
      <c r="C114" s="84"/>
      <c r="D114" s="84"/>
      <c r="E114" s="87"/>
      <c r="F114" s="87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</row>
    <row r="115" spans="2:30" x14ac:dyDescent="0.25">
      <c r="B115" s="93"/>
      <c r="C115" s="84"/>
      <c r="D115" s="84"/>
      <c r="E115" s="87"/>
      <c r="F115" s="87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</row>
    <row r="116" spans="2:30" x14ac:dyDescent="0.25">
      <c r="B116" s="93"/>
      <c r="C116" s="84"/>
      <c r="D116" s="84"/>
      <c r="E116" s="87"/>
      <c r="F116" s="87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</row>
    <row r="117" spans="2:30" x14ac:dyDescent="0.25">
      <c r="B117" s="93"/>
      <c r="C117" s="84"/>
      <c r="D117" s="84"/>
      <c r="E117" s="87"/>
      <c r="F117" s="87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</row>
    <row r="118" spans="2:30" x14ac:dyDescent="0.25">
      <c r="B118" s="93"/>
      <c r="C118" s="84"/>
      <c r="D118" s="84"/>
      <c r="E118" s="87"/>
      <c r="F118" s="87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</row>
    <row r="119" spans="2:30" x14ac:dyDescent="0.25">
      <c r="B119" s="93"/>
      <c r="C119" s="84"/>
      <c r="D119" s="84"/>
      <c r="E119" s="87"/>
      <c r="F119" s="87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</row>
    <row r="120" spans="2:30" x14ac:dyDescent="0.25">
      <c r="B120" s="93"/>
      <c r="C120" s="84"/>
      <c r="D120" s="84"/>
      <c r="E120" s="87"/>
      <c r="F120" s="87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</row>
    <row r="121" spans="2:30" x14ac:dyDescent="0.25">
      <c r="B121" s="93"/>
      <c r="C121" s="84"/>
      <c r="D121" s="84"/>
      <c r="E121" s="87"/>
      <c r="F121" s="87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</row>
    <row r="122" spans="2:30" x14ac:dyDescent="0.25">
      <c r="B122" s="93"/>
      <c r="C122" s="84"/>
      <c r="D122" s="84"/>
      <c r="E122" s="87"/>
      <c r="F122" s="87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</row>
    <row r="123" spans="2:30" x14ac:dyDescent="0.25">
      <c r="B123" s="93"/>
      <c r="C123" s="84"/>
      <c r="D123" s="84"/>
      <c r="E123" s="87"/>
      <c r="F123" s="87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</row>
    <row r="124" spans="2:30" x14ac:dyDescent="0.25">
      <c r="B124" s="93"/>
      <c r="C124" s="84"/>
      <c r="D124" s="84"/>
      <c r="E124" s="87"/>
      <c r="F124" s="87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</row>
    <row r="125" spans="2:30" x14ac:dyDescent="0.25">
      <c r="B125" s="93"/>
      <c r="C125" s="84"/>
      <c r="D125" s="84"/>
      <c r="E125" s="87"/>
      <c r="F125" s="87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</row>
    <row r="126" spans="2:30" x14ac:dyDescent="0.25">
      <c r="B126" s="93"/>
      <c r="C126" s="84"/>
      <c r="D126" s="84"/>
      <c r="E126" s="87"/>
      <c r="F126" s="87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</row>
    <row r="127" spans="2:30" x14ac:dyDescent="0.25">
      <c r="B127" s="93"/>
      <c r="C127" s="84"/>
      <c r="D127" s="84"/>
      <c r="E127" s="87"/>
      <c r="F127" s="87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</row>
    <row r="128" spans="2:30" x14ac:dyDescent="0.25">
      <c r="B128" s="93"/>
      <c r="C128" s="84"/>
      <c r="D128" s="84"/>
      <c r="E128" s="87"/>
      <c r="F128" s="87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</row>
    <row r="129" spans="2:30" x14ac:dyDescent="0.25">
      <c r="B129" s="93"/>
      <c r="C129" s="84"/>
      <c r="D129" s="84"/>
      <c r="E129" s="87"/>
      <c r="F129" s="87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</row>
    <row r="130" spans="2:30" x14ac:dyDescent="0.25">
      <c r="B130" s="93"/>
      <c r="C130" s="84"/>
      <c r="D130" s="84"/>
      <c r="E130" s="87"/>
      <c r="F130" s="87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</row>
    <row r="131" spans="2:30" x14ac:dyDescent="0.25">
      <c r="B131" s="93"/>
      <c r="C131" s="84"/>
      <c r="D131" s="84"/>
      <c r="E131" s="87"/>
      <c r="F131" s="87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</row>
    <row r="132" spans="2:30" x14ac:dyDescent="0.25">
      <c r="B132" s="93"/>
      <c r="C132" s="84"/>
      <c r="D132" s="84"/>
      <c r="E132" s="87"/>
      <c r="F132" s="87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</row>
    <row r="133" spans="2:30" x14ac:dyDescent="0.25">
      <c r="B133" s="93"/>
      <c r="C133" s="84"/>
      <c r="D133" s="84"/>
      <c r="E133" s="87"/>
      <c r="F133" s="87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</row>
    <row r="134" spans="2:30" x14ac:dyDescent="0.25">
      <c r="B134" s="93"/>
      <c r="C134" s="84"/>
      <c r="D134" s="84"/>
      <c r="E134" s="87"/>
      <c r="F134" s="87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</row>
    <row r="135" spans="2:30" x14ac:dyDescent="0.25">
      <c r="B135" s="93"/>
      <c r="C135" s="84"/>
      <c r="D135" s="84"/>
      <c r="E135" s="87"/>
      <c r="F135" s="87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</row>
    <row r="136" spans="2:30" x14ac:dyDescent="0.25">
      <c r="B136" s="93"/>
      <c r="C136" s="84"/>
      <c r="D136" s="84"/>
      <c r="E136" s="87"/>
      <c r="F136" s="87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</row>
    <row r="137" spans="2:30" x14ac:dyDescent="0.25">
      <c r="B137" s="93"/>
      <c r="C137" s="84"/>
      <c r="D137" s="84"/>
      <c r="E137" s="87"/>
      <c r="F137" s="87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</row>
    <row r="138" spans="2:30" x14ac:dyDescent="0.25">
      <c r="B138" s="93"/>
      <c r="C138" s="84"/>
      <c r="D138" s="84"/>
      <c r="E138" s="87"/>
      <c r="F138" s="87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</row>
    <row r="139" spans="2:30" x14ac:dyDescent="0.25">
      <c r="B139" s="93"/>
      <c r="C139" s="84"/>
      <c r="D139" s="84"/>
      <c r="E139" s="87"/>
      <c r="F139" s="87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</row>
    <row r="140" spans="2:30" x14ac:dyDescent="0.25">
      <c r="B140" s="93"/>
      <c r="C140" s="84"/>
      <c r="D140" s="84"/>
      <c r="E140" s="87"/>
      <c r="F140" s="87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</row>
    <row r="141" spans="2:30" x14ac:dyDescent="0.25">
      <c r="B141" s="93"/>
      <c r="C141" s="84"/>
      <c r="D141" s="84"/>
      <c r="E141" s="87"/>
      <c r="F141" s="87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</row>
    <row r="142" spans="2:30" x14ac:dyDescent="0.25">
      <c r="B142" s="93"/>
      <c r="C142" s="84"/>
      <c r="D142" s="84"/>
      <c r="E142" s="87"/>
      <c r="F142" s="87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</row>
    <row r="143" spans="2:30" x14ac:dyDescent="0.25">
      <c r="B143" s="93"/>
      <c r="C143" s="84"/>
      <c r="D143" s="84"/>
      <c r="E143" s="87"/>
      <c r="F143" s="87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</row>
    <row r="144" spans="2:30" x14ac:dyDescent="0.25">
      <c r="B144" s="93"/>
      <c r="C144" s="84"/>
      <c r="D144" s="84"/>
      <c r="E144" s="87"/>
      <c r="F144" s="87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</row>
    <row r="145" spans="2:30" x14ac:dyDescent="0.25">
      <c r="B145" s="93"/>
      <c r="C145" s="84"/>
      <c r="D145" s="84"/>
      <c r="E145" s="87"/>
      <c r="F145" s="87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</row>
    <row r="146" spans="2:30" x14ac:dyDescent="0.25">
      <c r="B146" s="93"/>
      <c r="C146" s="84"/>
      <c r="D146" s="84"/>
      <c r="E146" s="87"/>
      <c r="F146" s="87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</row>
    <row r="147" spans="2:30" x14ac:dyDescent="0.25">
      <c r="B147" s="93"/>
      <c r="C147" s="84"/>
      <c r="D147" s="84"/>
      <c r="E147" s="87"/>
      <c r="F147" s="87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</row>
    <row r="148" spans="2:30" x14ac:dyDescent="0.25">
      <c r="B148" s="93"/>
      <c r="C148" s="84"/>
      <c r="D148" s="84"/>
      <c r="E148" s="87"/>
      <c r="F148" s="87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</row>
    <row r="149" spans="2:30" x14ac:dyDescent="0.25">
      <c r="B149" s="93"/>
      <c r="C149" s="84"/>
      <c r="D149" s="84"/>
      <c r="E149" s="87"/>
      <c r="F149" s="87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</row>
    <row r="150" spans="2:30" x14ac:dyDescent="0.25">
      <c r="B150" s="93"/>
      <c r="C150" s="84"/>
      <c r="D150" s="84"/>
      <c r="E150" s="87"/>
      <c r="F150" s="87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</row>
    <row r="151" spans="2:30" x14ac:dyDescent="0.25">
      <c r="B151" s="93"/>
      <c r="C151" s="84"/>
      <c r="D151" s="84"/>
      <c r="E151" s="87"/>
      <c r="F151" s="87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</row>
    <row r="152" spans="2:30" x14ac:dyDescent="0.25">
      <c r="B152" s="93"/>
      <c r="C152" s="84"/>
      <c r="D152" s="84"/>
      <c r="E152" s="87"/>
      <c r="F152" s="87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</row>
    <row r="153" spans="2:30" x14ac:dyDescent="0.25">
      <c r="B153" s="93"/>
      <c r="C153" s="84"/>
      <c r="D153" s="84"/>
      <c r="E153" s="87"/>
      <c r="F153" s="87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</row>
    <row r="154" spans="2:30" x14ac:dyDescent="0.25">
      <c r="B154" s="93"/>
      <c r="C154" s="84"/>
      <c r="D154" s="84"/>
      <c r="E154" s="87"/>
      <c r="F154" s="87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2:30" x14ac:dyDescent="0.25">
      <c r="B155" s="93"/>
      <c r="C155" s="84"/>
      <c r="D155" s="84"/>
      <c r="E155" s="87"/>
      <c r="F155" s="87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2:30" x14ac:dyDescent="0.25">
      <c r="B156" s="93"/>
      <c r="C156" s="84"/>
      <c r="D156" s="84"/>
      <c r="E156" s="87"/>
      <c r="F156" s="87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2:30" x14ac:dyDescent="0.25">
      <c r="B157" s="93"/>
      <c r="C157" s="84"/>
      <c r="D157" s="84"/>
      <c r="E157" s="87"/>
      <c r="F157" s="87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2:30" x14ac:dyDescent="0.25">
      <c r="B158" s="93"/>
      <c r="C158" s="84"/>
      <c r="D158" s="84"/>
      <c r="E158" s="87"/>
      <c r="F158" s="87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2:30" x14ac:dyDescent="0.25">
      <c r="B159" s="93"/>
      <c r="C159" s="84"/>
      <c r="D159" s="84"/>
      <c r="E159" s="87"/>
      <c r="F159" s="87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</row>
    <row r="160" spans="2:30" x14ac:dyDescent="0.25">
      <c r="B160" s="93"/>
      <c r="C160" s="84"/>
      <c r="D160" s="84"/>
      <c r="E160" s="87"/>
      <c r="F160" s="87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</row>
    <row r="161" spans="2:30" x14ac:dyDescent="0.25">
      <c r="B161" s="93"/>
      <c r="C161" s="84"/>
      <c r="D161" s="84"/>
      <c r="E161" s="87"/>
      <c r="F161" s="87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</row>
    <row r="162" spans="2:30" x14ac:dyDescent="0.25">
      <c r="B162" s="93"/>
      <c r="C162" s="84"/>
      <c r="D162" s="84"/>
      <c r="E162" s="87"/>
      <c r="F162" s="87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</row>
    <row r="163" spans="2:30" x14ac:dyDescent="0.25">
      <c r="B163" s="93"/>
      <c r="C163" s="84"/>
      <c r="D163" s="84"/>
      <c r="E163" s="87"/>
      <c r="F163" s="87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</row>
    <row r="164" spans="2:30" x14ac:dyDescent="0.25">
      <c r="B164" s="93"/>
      <c r="C164" s="84"/>
      <c r="D164" s="84"/>
      <c r="E164" s="87"/>
      <c r="F164" s="87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</row>
    <row r="165" spans="2:30" x14ac:dyDescent="0.25">
      <c r="B165" s="93"/>
      <c r="C165" s="84"/>
      <c r="D165" s="84"/>
      <c r="E165" s="87"/>
      <c r="F165" s="87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</row>
    <row r="166" spans="2:30" x14ac:dyDescent="0.25">
      <c r="B166" s="93"/>
      <c r="C166" s="84"/>
      <c r="D166" s="84"/>
      <c r="E166" s="87"/>
      <c r="F166" s="87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</row>
    <row r="167" spans="2:30" x14ac:dyDescent="0.25">
      <c r="B167" s="93"/>
      <c r="C167" s="84"/>
      <c r="D167" s="84"/>
      <c r="E167" s="87"/>
      <c r="F167" s="87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</row>
    <row r="168" spans="2:30" x14ac:dyDescent="0.25">
      <c r="B168" s="93"/>
      <c r="C168" s="84"/>
      <c r="D168" s="84"/>
      <c r="E168" s="87"/>
      <c r="F168" s="87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</row>
    <row r="169" spans="2:30" x14ac:dyDescent="0.25">
      <c r="B169" s="93"/>
      <c r="C169" s="84"/>
      <c r="D169" s="84"/>
      <c r="E169" s="87"/>
      <c r="F169" s="87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</row>
    <row r="170" spans="2:30" x14ac:dyDescent="0.25">
      <c r="B170" s="93"/>
      <c r="C170" s="84"/>
      <c r="D170" s="84"/>
      <c r="E170" s="87"/>
      <c r="F170" s="87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</row>
    <row r="171" spans="2:30" x14ac:dyDescent="0.25">
      <c r="B171" s="93"/>
      <c r="C171" s="84"/>
      <c r="D171" s="84"/>
      <c r="E171" s="87"/>
      <c r="F171" s="87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</row>
    <row r="172" spans="2:30" x14ac:dyDescent="0.25">
      <c r="B172" s="93"/>
      <c r="C172" s="84"/>
      <c r="D172" s="84"/>
      <c r="E172" s="87"/>
      <c r="F172" s="87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</row>
    <row r="173" spans="2:30" x14ac:dyDescent="0.25">
      <c r="B173" s="93"/>
      <c r="C173" s="84"/>
      <c r="D173" s="84"/>
      <c r="E173" s="87"/>
      <c r="F173" s="87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</row>
    <row r="174" spans="2:30" x14ac:dyDescent="0.25">
      <c r="B174" s="93"/>
      <c r="C174" s="84"/>
      <c r="D174" s="84"/>
      <c r="E174" s="87"/>
      <c r="F174" s="87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</row>
    <row r="175" spans="2:30" x14ac:dyDescent="0.25">
      <c r="B175" s="93"/>
      <c r="C175" s="84"/>
      <c r="D175" s="84"/>
      <c r="E175" s="87"/>
      <c r="F175" s="87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</row>
    <row r="176" spans="2:30" x14ac:dyDescent="0.25">
      <c r="B176" s="93"/>
      <c r="C176" s="84"/>
      <c r="D176" s="84"/>
      <c r="E176" s="87"/>
      <c r="F176" s="87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</row>
    <row r="177" spans="2:30" x14ac:dyDescent="0.25">
      <c r="B177" s="93"/>
      <c r="C177" s="84"/>
      <c r="D177" s="84"/>
      <c r="E177" s="87"/>
      <c r="F177" s="87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</row>
    <row r="178" spans="2:30" x14ac:dyDescent="0.25">
      <c r="B178" s="93"/>
      <c r="C178" s="84"/>
      <c r="D178" s="84"/>
      <c r="E178" s="87"/>
      <c r="F178" s="87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</row>
    <row r="179" spans="2:30" x14ac:dyDescent="0.25">
      <c r="B179" s="93"/>
      <c r="C179" s="84"/>
      <c r="D179" s="84"/>
      <c r="E179" s="87"/>
      <c r="F179" s="87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</row>
    <row r="180" spans="2:30" x14ac:dyDescent="0.25">
      <c r="B180" s="93"/>
      <c r="C180" s="84"/>
      <c r="D180" s="84"/>
      <c r="E180" s="87"/>
      <c r="F180" s="87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</row>
    <row r="181" spans="2:30" x14ac:dyDescent="0.25">
      <c r="B181" s="93"/>
      <c r="C181" s="84"/>
      <c r="D181" s="84"/>
      <c r="E181" s="87"/>
      <c r="F181" s="87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</row>
    <row r="182" spans="2:30" x14ac:dyDescent="0.25">
      <c r="B182" s="93"/>
      <c r="C182" s="84"/>
      <c r="D182" s="84"/>
      <c r="E182" s="87"/>
      <c r="F182" s="87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</row>
    <row r="183" spans="2:30" x14ac:dyDescent="0.25">
      <c r="B183" s="93"/>
      <c r="C183" s="84"/>
      <c r="D183" s="84"/>
      <c r="E183" s="87"/>
      <c r="F183" s="87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</row>
    <row r="184" spans="2:30" x14ac:dyDescent="0.25">
      <c r="B184" s="93"/>
      <c r="C184" s="84"/>
      <c r="D184" s="84"/>
      <c r="E184" s="87"/>
      <c r="F184" s="87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</row>
    <row r="185" spans="2:30" x14ac:dyDescent="0.25">
      <c r="B185" s="93"/>
      <c r="C185" s="84"/>
      <c r="D185" s="84"/>
      <c r="E185" s="87"/>
      <c r="F185" s="87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</row>
    <row r="186" spans="2:30" x14ac:dyDescent="0.25">
      <c r="B186" s="93"/>
      <c r="C186" s="84"/>
      <c r="D186" s="84"/>
      <c r="E186" s="87"/>
      <c r="F186" s="87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</row>
    <row r="187" spans="2:30" x14ac:dyDescent="0.25">
      <c r="B187" s="93"/>
      <c r="C187" s="84"/>
      <c r="D187" s="84"/>
      <c r="E187" s="87"/>
      <c r="F187" s="87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</row>
    <row r="188" spans="2:30" x14ac:dyDescent="0.25">
      <c r="B188" s="93"/>
      <c r="C188" s="84"/>
      <c r="D188" s="84"/>
      <c r="E188" s="87"/>
      <c r="F188" s="87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</row>
    <row r="189" spans="2:30" x14ac:dyDescent="0.25">
      <c r="B189" s="93"/>
      <c r="C189" s="84"/>
      <c r="D189" s="84"/>
      <c r="E189" s="87"/>
      <c r="F189" s="87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</row>
    <row r="190" spans="2:30" x14ac:dyDescent="0.25">
      <c r="B190" s="93"/>
      <c r="C190" s="84"/>
      <c r="D190" s="84"/>
      <c r="E190" s="87"/>
      <c r="F190" s="87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</row>
    <row r="191" spans="2:30" x14ac:dyDescent="0.25">
      <c r="B191" s="93"/>
      <c r="C191" s="84"/>
      <c r="D191" s="84"/>
      <c r="E191" s="87"/>
      <c r="F191" s="87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</row>
    <row r="192" spans="2:30" x14ac:dyDescent="0.25">
      <c r="B192" s="93"/>
      <c r="C192" s="84"/>
      <c r="D192" s="84"/>
      <c r="E192" s="87"/>
      <c r="F192" s="87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</row>
    <row r="193" spans="2:30" x14ac:dyDescent="0.25">
      <c r="B193" s="93"/>
      <c r="C193" s="84"/>
      <c r="D193" s="84"/>
      <c r="E193" s="87"/>
      <c r="F193" s="87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</row>
    <row r="194" spans="2:30" x14ac:dyDescent="0.25">
      <c r="B194" s="93"/>
      <c r="C194" s="84"/>
      <c r="D194" s="84"/>
      <c r="E194" s="87"/>
      <c r="F194" s="87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</row>
    <row r="195" spans="2:30" x14ac:dyDescent="0.25">
      <c r="B195" s="93"/>
      <c r="C195" s="84"/>
      <c r="D195" s="84"/>
      <c r="E195" s="87"/>
      <c r="F195" s="87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</row>
    <row r="196" spans="2:30" x14ac:dyDescent="0.25">
      <c r="B196" s="93"/>
      <c r="C196" s="84"/>
      <c r="D196" s="84"/>
      <c r="E196" s="87"/>
      <c r="F196" s="87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</row>
    <row r="197" spans="2:30" x14ac:dyDescent="0.25">
      <c r="B197" s="93"/>
      <c r="C197" s="84"/>
      <c r="D197" s="84"/>
      <c r="E197" s="87"/>
      <c r="F197" s="87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</row>
    <row r="198" spans="2:30" x14ac:dyDescent="0.25">
      <c r="B198" s="93"/>
      <c r="C198" s="84"/>
      <c r="D198" s="84"/>
      <c r="E198" s="87"/>
      <c r="F198" s="87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</row>
    <row r="199" spans="2:30" x14ac:dyDescent="0.25">
      <c r="B199" s="93"/>
      <c r="C199" s="84"/>
      <c r="D199" s="84"/>
      <c r="E199" s="87"/>
      <c r="F199" s="87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</row>
    <row r="200" spans="2:30" x14ac:dyDescent="0.25">
      <c r="B200" s="93"/>
      <c r="C200" s="84"/>
      <c r="D200" s="84"/>
      <c r="E200" s="87"/>
      <c r="F200" s="87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</row>
    <row r="201" spans="2:30" x14ac:dyDescent="0.25">
      <c r="B201" s="93"/>
      <c r="C201" s="84"/>
      <c r="D201" s="84"/>
      <c r="E201" s="87"/>
      <c r="F201" s="87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</row>
    <row r="202" spans="2:30" x14ac:dyDescent="0.25">
      <c r="B202" s="93"/>
      <c r="C202" s="84"/>
      <c r="D202" s="84"/>
      <c r="E202" s="87"/>
      <c r="F202" s="87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</row>
    <row r="203" spans="2:30" x14ac:dyDescent="0.25">
      <c r="B203" s="93"/>
      <c r="C203" s="84"/>
      <c r="D203" s="84"/>
      <c r="E203" s="87"/>
      <c r="F203" s="87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</row>
    <row r="204" spans="2:30" x14ac:dyDescent="0.25">
      <c r="B204" s="93"/>
      <c r="C204" s="84"/>
      <c r="D204" s="84"/>
      <c r="E204" s="87"/>
      <c r="F204" s="87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</row>
    <row r="205" spans="2:30" x14ac:dyDescent="0.25">
      <c r="B205" s="93"/>
      <c r="C205" s="84"/>
      <c r="D205" s="84"/>
      <c r="E205" s="87"/>
      <c r="F205" s="87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</row>
    <row r="206" spans="2:30" x14ac:dyDescent="0.25">
      <c r="B206" s="93"/>
      <c r="C206" s="84"/>
      <c r="D206" s="84"/>
      <c r="E206" s="87"/>
      <c r="F206" s="87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</row>
    <row r="207" spans="2:30" x14ac:dyDescent="0.25">
      <c r="B207" s="93"/>
      <c r="C207" s="84"/>
      <c r="D207" s="84"/>
      <c r="E207" s="87"/>
      <c r="F207" s="87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</row>
    <row r="208" spans="2:30" x14ac:dyDescent="0.25">
      <c r="B208" s="93"/>
      <c r="C208" s="84"/>
      <c r="D208" s="84"/>
      <c r="E208" s="87"/>
      <c r="F208" s="87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</row>
    <row r="209" spans="2:30" x14ac:dyDescent="0.25">
      <c r="B209" s="93"/>
      <c r="C209" s="84"/>
      <c r="D209" s="84"/>
      <c r="E209" s="87"/>
      <c r="F209" s="87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</row>
    <row r="210" spans="2:30" x14ac:dyDescent="0.25">
      <c r="B210" s="93"/>
      <c r="C210" s="84"/>
      <c r="D210" s="84"/>
      <c r="E210" s="87"/>
      <c r="F210" s="87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</row>
    <row r="211" spans="2:30" x14ac:dyDescent="0.25">
      <c r="B211" s="93"/>
      <c r="C211" s="84"/>
      <c r="D211" s="84"/>
      <c r="E211" s="87"/>
      <c r="F211" s="87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</row>
    <row r="212" spans="2:30" x14ac:dyDescent="0.25">
      <c r="B212" s="93"/>
      <c r="C212" s="84"/>
      <c r="D212" s="84"/>
      <c r="E212" s="87"/>
      <c r="F212" s="87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</row>
    <row r="213" spans="2:30" x14ac:dyDescent="0.25">
      <c r="B213" s="93"/>
      <c r="C213" s="84"/>
      <c r="D213" s="84"/>
      <c r="E213" s="87"/>
      <c r="F213" s="87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</row>
    <row r="214" spans="2:30" x14ac:dyDescent="0.25">
      <c r="B214" s="93"/>
      <c r="C214" s="84"/>
      <c r="D214" s="84"/>
      <c r="E214" s="87"/>
      <c r="F214" s="87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</row>
    <row r="215" spans="2:30" x14ac:dyDescent="0.25">
      <c r="B215" s="93"/>
      <c r="C215" s="84"/>
      <c r="D215" s="84"/>
      <c r="E215" s="87"/>
      <c r="F215" s="87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</row>
    <row r="216" spans="2:30" x14ac:dyDescent="0.25">
      <c r="B216" s="93"/>
      <c r="C216" s="84"/>
      <c r="D216" s="84"/>
      <c r="E216" s="87"/>
      <c r="F216" s="87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</row>
    <row r="217" spans="2:30" x14ac:dyDescent="0.25">
      <c r="B217" s="93"/>
      <c r="C217" s="84"/>
      <c r="D217" s="84"/>
      <c r="E217" s="87"/>
      <c r="F217" s="87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</row>
    <row r="218" spans="2:30" x14ac:dyDescent="0.25">
      <c r="B218" s="93"/>
      <c r="C218" s="84"/>
      <c r="D218" s="84"/>
      <c r="E218" s="87"/>
      <c r="F218" s="87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</row>
    <row r="219" spans="2:30" x14ac:dyDescent="0.25">
      <c r="B219" s="93"/>
      <c r="C219" s="84"/>
      <c r="D219" s="84"/>
      <c r="E219" s="87"/>
      <c r="F219" s="87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</row>
    <row r="220" spans="2:30" x14ac:dyDescent="0.25">
      <c r="B220" s="93"/>
      <c r="C220" s="84"/>
      <c r="D220" s="84"/>
      <c r="E220" s="87"/>
      <c r="F220" s="87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</row>
    <row r="221" spans="2:30" x14ac:dyDescent="0.25">
      <c r="B221" s="93"/>
      <c r="C221" s="84"/>
      <c r="D221" s="84"/>
      <c r="E221" s="87"/>
      <c r="F221" s="87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</row>
    <row r="222" spans="2:30" x14ac:dyDescent="0.25">
      <c r="B222" s="93"/>
      <c r="C222" s="84"/>
      <c r="D222" s="84"/>
      <c r="E222" s="87"/>
      <c r="F222" s="87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</row>
    <row r="223" spans="2:30" x14ac:dyDescent="0.25">
      <c r="B223" s="93"/>
      <c r="C223" s="84"/>
      <c r="D223" s="84"/>
      <c r="E223" s="87"/>
      <c r="F223" s="87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</row>
    <row r="224" spans="2:30" x14ac:dyDescent="0.25">
      <c r="B224" s="93"/>
      <c r="C224" s="84"/>
      <c r="D224" s="84"/>
      <c r="E224" s="87"/>
      <c r="F224" s="87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</row>
    <row r="225" spans="2:30" x14ac:dyDescent="0.25">
      <c r="B225" s="93"/>
      <c r="C225" s="84"/>
      <c r="D225" s="84"/>
      <c r="E225" s="87"/>
      <c r="F225" s="87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</row>
    <row r="226" spans="2:30" x14ac:dyDescent="0.25">
      <c r="B226" s="93"/>
      <c r="C226" s="84"/>
      <c r="D226" s="84"/>
      <c r="E226" s="87"/>
      <c r="F226" s="87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</row>
    <row r="227" spans="2:30" x14ac:dyDescent="0.25">
      <c r="B227" s="93"/>
      <c r="C227" s="84"/>
      <c r="D227" s="84"/>
      <c r="E227" s="87"/>
      <c r="F227" s="87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</row>
    <row r="228" spans="2:30" x14ac:dyDescent="0.25">
      <c r="B228" s="93"/>
      <c r="C228" s="84"/>
      <c r="D228" s="84"/>
      <c r="E228" s="87"/>
      <c r="F228" s="87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</row>
    <row r="229" spans="2:30" x14ac:dyDescent="0.25">
      <c r="B229" s="93"/>
      <c r="C229" s="84"/>
      <c r="D229" s="84"/>
      <c r="E229" s="87"/>
      <c r="F229" s="87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</row>
    <row r="230" spans="2:30" x14ac:dyDescent="0.25">
      <c r="B230" s="93"/>
      <c r="C230" s="84"/>
      <c r="D230" s="84"/>
      <c r="E230" s="87"/>
      <c r="F230" s="87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</row>
    <row r="231" spans="2:30" x14ac:dyDescent="0.25">
      <c r="B231" s="93"/>
      <c r="C231" s="84"/>
      <c r="D231" s="84"/>
      <c r="E231" s="87"/>
      <c r="F231" s="87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</row>
    <row r="232" spans="2:30" x14ac:dyDescent="0.25">
      <c r="B232" s="93"/>
      <c r="C232" s="84"/>
      <c r="D232" s="84"/>
      <c r="E232" s="87"/>
      <c r="F232" s="87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</row>
    <row r="233" spans="2:30" x14ac:dyDescent="0.25">
      <c r="B233" s="93"/>
      <c r="C233" s="84"/>
      <c r="D233" s="84"/>
      <c r="E233" s="87"/>
      <c r="F233" s="87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</row>
    <row r="234" spans="2:30" x14ac:dyDescent="0.25">
      <c r="B234" s="93"/>
      <c r="C234" s="84"/>
      <c r="D234" s="84"/>
      <c r="E234" s="87"/>
      <c r="F234" s="87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</row>
    <row r="235" spans="2:30" x14ac:dyDescent="0.25">
      <c r="B235" s="93"/>
      <c r="C235" s="84"/>
      <c r="D235" s="84"/>
      <c r="E235" s="87"/>
      <c r="F235" s="87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</row>
    <row r="236" spans="2:30" x14ac:dyDescent="0.25">
      <c r="B236" s="93"/>
      <c r="C236" s="84"/>
      <c r="D236" s="84"/>
      <c r="E236" s="87"/>
      <c r="F236" s="87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</row>
    <row r="237" spans="2:30" x14ac:dyDescent="0.25">
      <c r="B237" s="93"/>
      <c r="C237" s="84"/>
      <c r="D237" s="84"/>
      <c r="E237" s="87"/>
      <c r="F237" s="87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</row>
    <row r="238" spans="2:30" x14ac:dyDescent="0.25">
      <c r="B238" s="93"/>
      <c r="C238" s="84"/>
      <c r="D238" s="84"/>
      <c r="E238" s="87"/>
      <c r="F238" s="87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</row>
    <row r="239" spans="2:30" x14ac:dyDescent="0.25">
      <c r="B239" s="93"/>
      <c r="C239" s="84"/>
      <c r="D239" s="84"/>
      <c r="E239" s="87"/>
      <c r="F239" s="87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</row>
    <row r="240" spans="2:30" x14ac:dyDescent="0.25">
      <c r="B240" s="93"/>
      <c r="C240" s="84"/>
      <c r="D240" s="84"/>
      <c r="E240" s="87"/>
      <c r="F240" s="87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</row>
    <row r="241" spans="2:30" x14ac:dyDescent="0.25">
      <c r="B241" s="93"/>
      <c r="C241" s="84"/>
      <c r="D241" s="84"/>
      <c r="E241" s="87"/>
      <c r="F241" s="87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</row>
    <row r="242" spans="2:30" x14ac:dyDescent="0.25">
      <c r="B242" s="93"/>
      <c r="C242" s="84"/>
      <c r="D242" s="84"/>
      <c r="E242" s="87"/>
      <c r="F242" s="87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</row>
    <row r="243" spans="2:30" x14ac:dyDescent="0.25">
      <c r="B243" s="93"/>
      <c r="C243" s="84"/>
      <c r="D243" s="84"/>
      <c r="E243" s="87"/>
      <c r="F243" s="87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</row>
    <row r="244" spans="2:30" x14ac:dyDescent="0.25">
      <c r="B244" s="93"/>
      <c r="C244" s="84"/>
      <c r="D244" s="84"/>
      <c r="E244" s="87"/>
      <c r="F244" s="87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</row>
    <row r="245" spans="2:30" x14ac:dyDescent="0.25">
      <c r="B245" s="93"/>
      <c r="C245" s="84"/>
      <c r="D245" s="84"/>
      <c r="E245" s="87"/>
      <c r="F245" s="87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</row>
    <row r="246" spans="2:30" x14ac:dyDescent="0.25">
      <c r="B246" s="93"/>
      <c r="C246" s="84"/>
      <c r="D246" s="84"/>
      <c r="E246" s="87"/>
      <c r="F246" s="87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</row>
    <row r="247" spans="2:30" x14ac:dyDescent="0.25">
      <c r="B247" s="93"/>
      <c r="C247" s="84"/>
      <c r="D247" s="84"/>
      <c r="E247" s="87"/>
      <c r="F247" s="87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</row>
    <row r="248" spans="2:30" x14ac:dyDescent="0.25">
      <c r="B248" s="93"/>
      <c r="C248" s="84"/>
      <c r="D248" s="84"/>
      <c r="E248" s="87"/>
      <c r="F248" s="87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</row>
    <row r="249" spans="2:30" x14ac:dyDescent="0.25">
      <c r="B249" s="93"/>
      <c r="C249" s="84"/>
      <c r="D249" s="84"/>
      <c r="E249" s="87"/>
      <c r="F249" s="87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</row>
    <row r="250" spans="2:30" x14ac:dyDescent="0.25">
      <c r="B250" s="93"/>
      <c r="C250" s="84"/>
      <c r="D250" s="84"/>
      <c r="E250" s="87"/>
      <c r="F250" s="87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</row>
    <row r="251" spans="2:30" x14ac:dyDescent="0.25">
      <c r="B251" s="93"/>
      <c r="C251" s="84"/>
      <c r="D251" s="84"/>
      <c r="E251" s="87"/>
      <c r="F251" s="87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</row>
    <row r="252" spans="2:30" x14ac:dyDescent="0.25">
      <c r="B252" s="93"/>
      <c r="C252" s="84"/>
      <c r="D252" s="84"/>
      <c r="E252" s="87"/>
      <c r="F252" s="87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</row>
    <row r="253" spans="2:30" x14ac:dyDescent="0.25">
      <c r="B253" s="93"/>
      <c r="C253" s="84"/>
      <c r="D253" s="84"/>
      <c r="E253" s="87"/>
      <c r="F253" s="87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</row>
    <row r="254" spans="2:30" x14ac:dyDescent="0.25">
      <c r="B254" s="93"/>
      <c r="C254" s="84"/>
      <c r="D254" s="84"/>
      <c r="E254" s="87"/>
      <c r="F254" s="87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</row>
    <row r="255" spans="2:30" x14ac:dyDescent="0.25">
      <c r="B255" s="93"/>
      <c r="C255" s="84"/>
      <c r="D255" s="84"/>
      <c r="E255" s="87"/>
      <c r="F255" s="87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</row>
    <row r="256" spans="2:30" x14ac:dyDescent="0.25">
      <c r="B256" s="93"/>
      <c r="C256" s="84"/>
      <c r="D256" s="84"/>
      <c r="E256" s="87"/>
      <c r="F256" s="87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</row>
    <row r="257" spans="2:30" x14ac:dyDescent="0.25">
      <c r="B257" s="93"/>
      <c r="C257" s="84"/>
      <c r="D257" s="84"/>
      <c r="E257" s="87"/>
      <c r="F257" s="87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</row>
    <row r="258" spans="2:30" x14ac:dyDescent="0.25">
      <c r="B258" s="93"/>
      <c r="C258" s="84"/>
      <c r="D258" s="84"/>
      <c r="E258" s="87"/>
      <c r="F258" s="87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</row>
    <row r="259" spans="2:30" x14ac:dyDescent="0.25">
      <c r="B259" s="93"/>
      <c r="C259" s="84"/>
      <c r="D259" s="84"/>
      <c r="E259" s="87"/>
      <c r="F259" s="87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</row>
    <row r="260" spans="2:30" x14ac:dyDescent="0.25">
      <c r="B260" s="93"/>
      <c r="C260" s="84"/>
      <c r="D260" s="84"/>
      <c r="E260" s="87"/>
      <c r="F260" s="87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</row>
    <row r="261" spans="2:30" x14ac:dyDescent="0.25">
      <c r="B261" s="93"/>
      <c r="C261" s="84"/>
      <c r="D261" s="84"/>
      <c r="E261" s="87"/>
      <c r="F261" s="87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</row>
    <row r="262" spans="2:30" x14ac:dyDescent="0.25">
      <c r="B262" s="93"/>
      <c r="C262" s="84"/>
      <c r="D262" s="84"/>
      <c r="E262" s="87"/>
      <c r="F262" s="87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</row>
    <row r="263" spans="2:30" x14ac:dyDescent="0.25">
      <c r="B263" s="93"/>
      <c r="C263" s="84"/>
      <c r="D263" s="84"/>
      <c r="E263" s="87"/>
      <c r="F263" s="87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</row>
    <row r="264" spans="2:30" x14ac:dyDescent="0.25">
      <c r="B264" s="93"/>
      <c r="C264" s="84"/>
      <c r="D264" s="84"/>
      <c r="E264" s="87"/>
      <c r="F264" s="87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</row>
    <row r="265" spans="2:30" x14ac:dyDescent="0.25">
      <c r="B265" s="93"/>
      <c r="C265" s="84"/>
      <c r="D265" s="84"/>
      <c r="E265" s="87"/>
      <c r="F265" s="87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</row>
    <row r="266" spans="2:30" x14ac:dyDescent="0.25">
      <c r="B266" s="93"/>
      <c r="C266" s="84"/>
      <c r="D266" s="84"/>
      <c r="E266" s="87"/>
      <c r="F266" s="87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</row>
    <row r="267" spans="2:30" x14ac:dyDescent="0.25">
      <c r="B267" s="93"/>
      <c r="C267" s="84"/>
      <c r="D267" s="84"/>
      <c r="E267" s="87"/>
      <c r="F267" s="87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</row>
    <row r="268" spans="2:30" x14ac:dyDescent="0.25">
      <c r="B268" s="93"/>
      <c r="C268" s="84"/>
      <c r="D268" s="84"/>
      <c r="E268" s="87"/>
      <c r="F268" s="87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</row>
    <row r="269" spans="2:30" x14ac:dyDescent="0.25">
      <c r="B269" s="93"/>
      <c r="C269" s="84"/>
      <c r="D269" s="84"/>
      <c r="E269" s="87"/>
      <c r="F269" s="87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</row>
    <row r="270" spans="2:30" x14ac:dyDescent="0.25">
      <c r="B270" s="93"/>
      <c r="C270" s="84"/>
      <c r="D270" s="84"/>
      <c r="E270" s="87"/>
      <c r="F270" s="87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</row>
    <row r="271" spans="2:30" x14ac:dyDescent="0.25">
      <c r="B271" s="93"/>
      <c r="C271" s="84"/>
      <c r="D271" s="84"/>
      <c r="E271" s="87"/>
      <c r="F271" s="87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</row>
    <row r="272" spans="2:30" x14ac:dyDescent="0.25">
      <c r="B272" s="93"/>
      <c r="C272" s="84"/>
      <c r="D272" s="84"/>
      <c r="E272" s="87"/>
      <c r="F272" s="87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</row>
    <row r="273" spans="2:30" x14ac:dyDescent="0.25">
      <c r="B273" s="93"/>
      <c r="C273" s="84"/>
      <c r="D273" s="84"/>
      <c r="E273" s="87"/>
      <c r="F273" s="87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</row>
    <row r="274" spans="2:30" x14ac:dyDescent="0.25">
      <c r="B274" s="93"/>
      <c r="C274" s="84"/>
      <c r="D274" s="84"/>
      <c r="E274" s="87"/>
      <c r="F274" s="87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</row>
    <row r="275" spans="2:30" x14ac:dyDescent="0.25">
      <c r="B275" s="93"/>
      <c r="C275" s="84"/>
      <c r="D275" s="84"/>
      <c r="E275" s="87"/>
      <c r="F275" s="87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</row>
    <row r="276" spans="2:30" x14ac:dyDescent="0.25">
      <c r="B276" s="93"/>
      <c r="C276" s="84"/>
      <c r="D276" s="84"/>
      <c r="E276" s="87"/>
      <c r="F276" s="87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</row>
    <row r="277" spans="2:30" x14ac:dyDescent="0.25">
      <c r="B277" s="93"/>
      <c r="C277" s="84"/>
      <c r="D277" s="84"/>
      <c r="E277" s="87"/>
      <c r="F277" s="87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</row>
    <row r="278" spans="2:30" x14ac:dyDescent="0.25">
      <c r="B278" s="93"/>
      <c r="C278" s="84"/>
      <c r="D278" s="84"/>
      <c r="E278" s="87"/>
      <c r="F278" s="87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</row>
    <row r="279" spans="2:30" x14ac:dyDescent="0.25">
      <c r="B279" s="93"/>
      <c r="C279" s="84"/>
      <c r="D279" s="84"/>
      <c r="E279" s="87"/>
      <c r="F279" s="87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</row>
    <row r="280" spans="2:30" x14ac:dyDescent="0.25">
      <c r="B280" s="93"/>
      <c r="C280" s="84"/>
      <c r="D280" s="84"/>
      <c r="E280" s="87"/>
      <c r="F280" s="87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</row>
    <row r="281" spans="2:30" x14ac:dyDescent="0.25">
      <c r="B281" s="93"/>
      <c r="C281" s="84"/>
      <c r="D281" s="84"/>
      <c r="E281" s="87"/>
      <c r="F281" s="87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</row>
    <row r="282" spans="2:30" x14ac:dyDescent="0.25">
      <c r="B282" s="93"/>
      <c r="C282" s="84"/>
      <c r="D282" s="84"/>
      <c r="E282" s="87"/>
      <c r="F282" s="87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</row>
    <row r="283" spans="2:30" x14ac:dyDescent="0.25">
      <c r="B283" s="93"/>
      <c r="C283" s="84"/>
      <c r="D283" s="84"/>
      <c r="E283" s="87"/>
      <c r="F283" s="87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</row>
    <row r="284" spans="2:30" x14ac:dyDescent="0.25">
      <c r="B284" s="93"/>
      <c r="C284" s="84"/>
      <c r="D284" s="84"/>
      <c r="E284" s="87"/>
      <c r="F284" s="87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</row>
    <row r="285" spans="2:30" x14ac:dyDescent="0.25">
      <c r="B285" s="93"/>
      <c r="C285" s="84"/>
      <c r="D285" s="84"/>
      <c r="E285" s="87"/>
      <c r="F285" s="87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</row>
    <row r="286" spans="2:30" x14ac:dyDescent="0.25">
      <c r="B286" s="93"/>
      <c r="C286" s="84"/>
      <c r="D286" s="84"/>
      <c r="E286" s="87"/>
      <c r="F286" s="87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</row>
    <row r="287" spans="2:30" x14ac:dyDescent="0.25">
      <c r="B287" s="93"/>
      <c r="C287" s="84"/>
      <c r="D287" s="84"/>
      <c r="E287" s="87"/>
      <c r="F287" s="87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</row>
    <row r="288" spans="2:30" x14ac:dyDescent="0.25">
      <c r="B288" s="93"/>
      <c r="C288" s="84"/>
      <c r="D288" s="84"/>
      <c r="E288" s="87"/>
      <c r="F288" s="87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</row>
    <row r="289" spans="2:30" x14ac:dyDescent="0.25">
      <c r="B289" s="93"/>
      <c r="C289" s="84"/>
      <c r="D289" s="84"/>
      <c r="E289" s="87"/>
      <c r="F289" s="87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</row>
    <row r="290" spans="2:30" x14ac:dyDescent="0.25">
      <c r="B290" s="93"/>
      <c r="C290" s="84"/>
      <c r="D290" s="84"/>
      <c r="E290" s="87"/>
      <c r="F290" s="87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</row>
    <row r="291" spans="2:30" x14ac:dyDescent="0.25">
      <c r="B291" s="93"/>
      <c r="C291" s="84"/>
      <c r="D291" s="84"/>
      <c r="E291" s="87"/>
      <c r="F291" s="87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</row>
    <row r="292" spans="2:30" x14ac:dyDescent="0.25">
      <c r="B292" s="93"/>
      <c r="C292" s="84"/>
      <c r="D292" s="84"/>
      <c r="E292" s="87"/>
      <c r="F292" s="87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</row>
    <row r="293" spans="2:30" x14ac:dyDescent="0.25">
      <c r="B293" s="93"/>
      <c r="C293" s="84"/>
      <c r="D293" s="84"/>
      <c r="E293" s="87"/>
      <c r="F293" s="87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</row>
    <row r="294" spans="2:30" x14ac:dyDescent="0.25">
      <c r="B294" s="93"/>
      <c r="C294" s="84"/>
      <c r="D294" s="84"/>
      <c r="E294" s="87"/>
      <c r="F294" s="87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</row>
    <row r="295" spans="2:30" x14ac:dyDescent="0.25">
      <c r="B295" s="93"/>
      <c r="C295" s="84"/>
      <c r="D295" s="84"/>
      <c r="E295" s="87"/>
      <c r="F295" s="87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</row>
    <row r="296" spans="2:30" x14ac:dyDescent="0.25">
      <c r="B296" s="93"/>
      <c r="C296" s="84"/>
      <c r="D296" s="84"/>
      <c r="E296" s="87"/>
      <c r="F296" s="87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</row>
    <row r="297" spans="2:30" x14ac:dyDescent="0.25">
      <c r="B297" s="93"/>
      <c r="C297" s="84"/>
      <c r="D297" s="84"/>
      <c r="E297" s="87"/>
      <c r="F297" s="87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</row>
    <row r="298" spans="2:30" x14ac:dyDescent="0.25">
      <c r="B298" s="93"/>
      <c r="C298" s="84"/>
      <c r="D298" s="84"/>
      <c r="E298" s="87"/>
      <c r="F298" s="87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</row>
    <row r="299" spans="2:30" x14ac:dyDescent="0.25">
      <c r="B299" s="93"/>
      <c r="C299" s="84"/>
      <c r="D299" s="84"/>
      <c r="E299" s="87"/>
      <c r="F299" s="87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</row>
    <row r="300" spans="2:30" x14ac:dyDescent="0.25">
      <c r="B300" s="93"/>
      <c r="C300" s="84"/>
      <c r="D300" s="84"/>
      <c r="E300" s="87"/>
      <c r="F300" s="87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</row>
    <row r="301" spans="2:30" x14ac:dyDescent="0.25">
      <c r="B301" s="93"/>
      <c r="C301" s="84"/>
      <c r="D301" s="84"/>
      <c r="E301" s="87"/>
      <c r="F301" s="87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</row>
    <row r="302" spans="2:30" x14ac:dyDescent="0.25">
      <c r="B302" s="93"/>
      <c r="C302" s="84"/>
      <c r="D302" s="84"/>
      <c r="E302" s="87"/>
      <c r="F302" s="87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</row>
    <row r="303" spans="2:30" x14ac:dyDescent="0.25">
      <c r="B303" s="93"/>
      <c r="C303" s="84"/>
      <c r="D303" s="84"/>
      <c r="E303" s="87"/>
      <c r="F303" s="87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</row>
    <row r="304" spans="2:30" x14ac:dyDescent="0.25">
      <c r="B304" s="93"/>
      <c r="C304" s="84"/>
      <c r="D304" s="84"/>
      <c r="E304" s="87"/>
      <c r="F304" s="87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</row>
    <row r="305" spans="2:30" x14ac:dyDescent="0.25">
      <c r="B305" s="93"/>
      <c r="C305" s="84"/>
      <c r="D305" s="84"/>
      <c r="E305" s="87"/>
      <c r="F305" s="87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</row>
    <row r="306" spans="2:30" x14ac:dyDescent="0.25">
      <c r="B306" s="93"/>
      <c r="C306" s="84"/>
      <c r="D306" s="84"/>
      <c r="E306" s="87"/>
      <c r="F306" s="87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</row>
    <row r="307" spans="2:30" x14ac:dyDescent="0.25">
      <c r="B307" s="93"/>
      <c r="C307" s="84"/>
      <c r="D307" s="84"/>
      <c r="E307" s="87"/>
      <c r="F307" s="87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</row>
    <row r="308" spans="2:30" x14ac:dyDescent="0.25">
      <c r="B308" s="93"/>
      <c r="C308" s="84"/>
      <c r="D308" s="84"/>
      <c r="E308" s="87"/>
      <c r="F308" s="87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</row>
    <row r="309" spans="2:30" x14ac:dyDescent="0.25">
      <c r="B309" s="93"/>
      <c r="C309" s="84"/>
      <c r="D309" s="84"/>
      <c r="E309" s="87"/>
      <c r="F309" s="87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</row>
    <row r="310" spans="2:30" x14ac:dyDescent="0.25">
      <c r="B310" s="93"/>
      <c r="C310" s="84"/>
      <c r="D310" s="84"/>
      <c r="E310" s="87"/>
      <c r="F310" s="87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</row>
    <row r="311" spans="2:30" x14ac:dyDescent="0.25">
      <c r="B311" s="93"/>
      <c r="C311" s="84"/>
      <c r="D311" s="84"/>
      <c r="E311" s="87"/>
      <c r="F311" s="87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</row>
    <row r="312" spans="2:30" x14ac:dyDescent="0.25">
      <c r="B312" s="93"/>
      <c r="C312" s="84"/>
      <c r="D312" s="84"/>
      <c r="E312" s="87"/>
      <c r="F312" s="87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</row>
    <row r="313" spans="2:30" x14ac:dyDescent="0.25">
      <c r="B313" s="93"/>
      <c r="C313" s="84"/>
      <c r="D313" s="84"/>
      <c r="E313" s="87"/>
      <c r="F313" s="87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</row>
    <row r="314" spans="2:30" x14ac:dyDescent="0.25">
      <c r="B314" s="93"/>
      <c r="C314" s="84"/>
      <c r="D314" s="84"/>
      <c r="E314" s="87"/>
      <c r="F314" s="87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</row>
    <row r="315" spans="2:30" x14ac:dyDescent="0.25">
      <c r="B315" s="93"/>
      <c r="C315" s="84"/>
      <c r="D315" s="84"/>
      <c r="E315" s="87"/>
      <c r="F315" s="87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</row>
    <row r="316" spans="2:30" x14ac:dyDescent="0.25">
      <c r="B316" s="93"/>
      <c r="C316" s="84"/>
      <c r="D316" s="84"/>
      <c r="E316" s="87"/>
      <c r="F316" s="87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</row>
    <row r="317" spans="2:30" x14ac:dyDescent="0.25">
      <c r="B317" s="93"/>
      <c r="C317" s="84"/>
      <c r="D317" s="84"/>
      <c r="E317" s="87"/>
      <c r="F317" s="87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</row>
    <row r="318" spans="2:30" x14ac:dyDescent="0.25">
      <c r="B318" s="93"/>
      <c r="C318" s="84"/>
      <c r="D318" s="84"/>
      <c r="E318" s="87"/>
      <c r="F318" s="87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</row>
    <row r="319" spans="2:30" x14ac:dyDescent="0.25">
      <c r="B319" s="93"/>
      <c r="C319" s="84"/>
      <c r="D319" s="84"/>
      <c r="E319" s="87"/>
      <c r="F319" s="87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</row>
    <row r="320" spans="2:30" x14ac:dyDescent="0.25">
      <c r="B320" s="93"/>
      <c r="C320" s="84"/>
      <c r="D320" s="84"/>
      <c r="E320" s="87"/>
      <c r="F320" s="87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</row>
    <row r="321" spans="2:30" x14ac:dyDescent="0.25">
      <c r="B321" s="93"/>
      <c r="C321" s="84"/>
      <c r="D321" s="84"/>
      <c r="E321" s="87"/>
      <c r="F321" s="87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</row>
    <row r="322" spans="2:30" x14ac:dyDescent="0.25">
      <c r="B322" s="93"/>
      <c r="C322" s="84"/>
      <c r="D322" s="84"/>
      <c r="E322" s="87"/>
      <c r="F322" s="87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</row>
    <row r="323" spans="2:30" x14ac:dyDescent="0.25">
      <c r="B323" s="93"/>
      <c r="C323" s="84"/>
      <c r="D323" s="84"/>
      <c r="E323" s="87"/>
      <c r="F323" s="87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</row>
    <row r="324" spans="2:30" x14ac:dyDescent="0.25">
      <c r="B324" s="93"/>
      <c r="C324" s="84"/>
      <c r="D324" s="84"/>
      <c r="E324" s="87"/>
      <c r="F324" s="87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</row>
    <row r="325" spans="2:30" x14ac:dyDescent="0.25">
      <c r="B325" s="93"/>
      <c r="C325" s="84"/>
      <c r="D325" s="84"/>
      <c r="E325" s="87"/>
      <c r="F325" s="87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</row>
    <row r="326" spans="2:30" x14ac:dyDescent="0.25">
      <c r="B326" s="93"/>
      <c r="C326" s="84"/>
      <c r="D326" s="84"/>
      <c r="E326" s="87"/>
      <c r="F326" s="87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</row>
    <row r="327" spans="2:30" x14ac:dyDescent="0.25">
      <c r="B327" s="93"/>
      <c r="C327" s="84"/>
      <c r="D327" s="84"/>
      <c r="E327" s="87"/>
      <c r="F327" s="87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2:30" x14ac:dyDescent="0.25">
      <c r="B328" s="93"/>
      <c r="C328" s="84"/>
      <c r="D328" s="84"/>
      <c r="E328" s="87"/>
      <c r="F328" s="87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2:30" x14ac:dyDescent="0.25">
      <c r="B329" s="93"/>
      <c r="C329" s="84"/>
      <c r="D329" s="84"/>
      <c r="E329" s="87"/>
      <c r="F329" s="87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2:30" x14ac:dyDescent="0.25">
      <c r="B330" s="93"/>
      <c r="C330" s="84"/>
      <c r="D330" s="84"/>
      <c r="E330" s="87"/>
      <c r="F330" s="87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2:30" x14ac:dyDescent="0.25">
      <c r="B331" s="93"/>
      <c r="C331" s="84"/>
      <c r="D331" s="84"/>
      <c r="E331" s="87"/>
      <c r="F331" s="87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2:30" x14ac:dyDescent="0.25">
      <c r="B332" s="93"/>
      <c r="C332" s="84"/>
      <c r="D332" s="84"/>
      <c r="E332" s="87"/>
      <c r="F332" s="87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2:30" x14ac:dyDescent="0.25">
      <c r="B333" s="93"/>
      <c r="C333" s="84"/>
      <c r="D333" s="84"/>
      <c r="E333" s="87"/>
      <c r="F333" s="87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2:30" x14ac:dyDescent="0.25">
      <c r="B334" s="93"/>
      <c r="C334" s="84"/>
      <c r="D334" s="84"/>
      <c r="E334" s="87"/>
      <c r="F334" s="87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2:30" x14ac:dyDescent="0.25">
      <c r="B335" s="93"/>
      <c r="C335" s="84"/>
      <c r="D335" s="84"/>
      <c r="E335" s="87"/>
      <c r="F335" s="87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2:30" x14ac:dyDescent="0.25">
      <c r="B336" s="93"/>
      <c r="C336" s="84"/>
      <c r="D336" s="84"/>
      <c r="E336" s="87"/>
      <c r="F336" s="87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</row>
    <row r="337" spans="2:30" x14ac:dyDescent="0.25">
      <c r="B337" s="93"/>
      <c r="C337" s="84"/>
      <c r="D337" s="84"/>
      <c r="E337" s="87"/>
      <c r="F337" s="87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</row>
    <row r="338" spans="2:30" x14ac:dyDescent="0.25">
      <c r="B338" s="93"/>
      <c r="C338" s="84"/>
      <c r="D338" s="84"/>
      <c r="E338" s="87"/>
      <c r="F338" s="87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</row>
    <row r="339" spans="2:30" x14ac:dyDescent="0.25">
      <c r="B339" s="93"/>
      <c r="C339" s="84"/>
      <c r="D339" s="84"/>
      <c r="E339" s="87"/>
      <c r="F339" s="87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</row>
    <row r="340" spans="2:30" x14ac:dyDescent="0.25">
      <c r="B340" s="93"/>
      <c r="C340" s="84"/>
      <c r="D340" s="84"/>
      <c r="E340" s="87"/>
      <c r="F340" s="87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</row>
    <row r="341" spans="2:30" x14ac:dyDescent="0.25">
      <c r="B341" s="93"/>
      <c r="C341" s="84"/>
      <c r="D341" s="84"/>
      <c r="E341" s="87"/>
      <c r="F341" s="87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</row>
    <row r="342" spans="2:30" x14ac:dyDescent="0.25">
      <c r="B342" s="93"/>
      <c r="C342" s="84"/>
      <c r="D342" s="84"/>
      <c r="E342" s="87"/>
      <c r="F342" s="87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</row>
    <row r="343" spans="2:30" x14ac:dyDescent="0.25">
      <c r="B343" s="93"/>
      <c r="C343" s="84"/>
      <c r="D343" s="84"/>
      <c r="E343" s="87"/>
      <c r="F343" s="87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</row>
    <row r="344" spans="2:30" x14ac:dyDescent="0.25">
      <c r="B344" s="93"/>
      <c r="C344" s="84"/>
      <c r="D344" s="84"/>
      <c r="E344" s="87"/>
      <c r="F344" s="87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</row>
    <row r="345" spans="2:30" x14ac:dyDescent="0.25">
      <c r="B345" s="93"/>
      <c r="C345" s="84"/>
      <c r="D345" s="84"/>
      <c r="E345" s="87"/>
      <c r="F345" s="87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</row>
    <row r="346" spans="2:30" x14ac:dyDescent="0.25">
      <c r="B346" s="93"/>
      <c r="C346" s="84"/>
      <c r="D346" s="84"/>
      <c r="E346" s="87"/>
      <c r="F346" s="87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</row>
    <row r="347" spans="2:30" x14ac:dyDescent="0.25">
      <c r="B347" s="93"/>
      <c r="C347" s="84"/>
      <c r="D347" s="84"/>
      <c r="E347" s="87"/>
      <c r="F347" s="87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</row>
    <row r="348" spans="2:30" x14ac:dyDescent="0.25">
      <c r="B348" s="93"/>
      <c r="C348" s="84"/>
      <c r="D348" s="84"/>
      <c r="E348" s="87"/>
      <c r="F348" s="87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</row>
    <row r="349" spans="2:30" x14ac:dyDescent="0.25">
      <c r="B349" s="93"/>
      <c r="C349" s="84"/>
      <c r="D349" s="84"/>
      <c r="E349" s="87"/>
      <c r="F349" s="87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</row>
    <row r="350" spans="2:30" x14ac:dyDescent="0.25">
      <c r="B350" s="93"/>
      <c r="C350" s="84"/>
      <c r="D350" s="84"/>
      <c r="E350" s="87"/>
      <c r="F350" s="87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</row>
    <row r="351" spans="2:30" x14ac:dyDescent="0.25">
      <c r="B351" s="93"/>
      <c r="C351" s="84"/>
      <c r="D351" s="84"/>
      <c r="E351" s="87"/>
      <c r="F351" s="87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</row>
    <row r="352" spans="2:30" x14ac:dyDescent="0.25">
      <c r="B352" s="93"/>
      <c r="C352" s="84"/>
      <c r="D352" s="84"/>
      <c r="E352" s="87"/>
      <c r="F352" s="87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</row>
    <row r="353" spans="2:30" x14ac:dyDescent="0.25">
      <c r="B353" s="93"/>
      <c r="C353" s="84"/>
      <c r="D353" s="84"/>
      <c r="E353" s="87"/>
      <c r="F353" s="87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</row>
    <row r="354" spans="2:30" x14ac:dyDescent="0.25">
      <c r="B354" s="93"/>
      <c r="C354" s="84"/>
      <c r="D354" s="84"/>
      <c r="E354" s="87"/>
      <c r="F354" s="87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</row>
    <row r="355" spans="2:30" x14ac:dyDescent="0.25">
      <c r="B355" s="93"/>
      <c r="C355" s="84"/>
      <c r="D355" s="84"/>
      <c r="E355" s="87"/>
      <c r="F355" s="87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</row>
    <row r="356" spans="2:30" x14ac:dyDescent="0.25">
      <c r="B356" s="93"/>
      <c r="C356" s="84"/>
      <c r="D356" s="84"/>
      <c r="E356" s="87"/>
      <c r="F356" s="87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</row>
    <row r="357" spans="2:30" x14ac:dyDescent="0.25">
      <c r="B357" s="93"/>
      <c r="C357" s="84"/>
      <c r="D357" s="84"/>
      <c r="E357" s="87"/>
      <c r="F357" s="87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4"/>
      <c r="AC357" s="84"/>
      <c r="AD357" s="84"/>
    </row>
    <row r="358" spans="2:30" x14ac:dyDescent="0.25">
      <c r="B358" s="93"/>
      <c r="C358" s="84"/>
      <c r="D358" s="84"/>
      <c r="E358" s="87"/>
      <c r="F358" s="87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4"/>
      <c r="AC358" s="84"/>
      <c r="AD358" s="84"/>
    </row>
    <row r="359" spans="2:30" x14ac:dyDescent="0.25">
      <c r="B359" s="93"/>
      <c r="C359" s="84"/>
      <c r="D359" s="84"/>
      <c r="E359" s="87"/>
      <c r="F359" s="87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4"/>
      <c r="AC359" s="84"/>
      <c r="AD359" s="84"/>
    </row>
    <row r="360" spans="2:30" x14ac:dyDescent="0.25">
      <c r="B360" s="93"/>
      <c r="C360" s="84"/>
      <c r="D360" s="84"/>
      <c r="E360" s="87"/>
      <c r="F360" s="87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</row>
    <row r="361" spans="2:30" x14ac:dyDescent="0.25">
      <c r="B361" s="93"/>
      <c r="C361" s="84"/>
      <c r="D361" s="84"/>
      <c r="E361" s="87"/>
      <c r="F361" s="87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</row>
    <row r="362" spans="2:30" x14ac:dyDescent="0.25">
      <c r="B362" s="93"/>
      <c r="C362" s="84"/>
      <c r="D362" s="84"/>
      <c r="E362" s="87"/>
      <c r="F362" s="87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</row>
    <row r="363" spans="2:30" x14ac:dyDescent="0.25">
      <c r="B363" s="93"/>
      <c r="C363" s="84"/>
      <c r="D363" s="84"/>
      <c r="E363" s="87"/>
      <c r="F363" s="87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</row>
    <row r="364" spans="2:30" x14ac:dyDescent="0.25">
      <c r="B364" s="93"/>
      <c r="C364" s="84"/>
      <c r="D364" s="84"/>
      <c r="E364" s="87"/>
      <c r="F364" s="87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</row>
    <row r="365" spans="2:30" x14ac:dyDescent="0.25">
      <c r="B365" s="93"/>
      <c r="C365" s="84"/>
      <c r="D365" s="84"/>
      <c r="E365" s="87"/>
      <c r="F365" s="87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</row>
    <row r="366" spans="2:30" x14ac:dyDescent="0.25">
      <c r="B366" s="93"/>
      <c r="C366" s="84"/>
      <c r="D366" s="84"/>
      <c r="E366" s="87"/>
      <c r="F366" s="87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</row>
    <row r="367" spans="2:30" x14ac:dyDescent="0.25">
      <c r="B367" s="93"/>
      <c r="C367" s="84"/>
      <c r="D367" s="84"/>
      <c r="E367" s="87"/>
      <c r="F367" s="87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</row>
    <row r="368" spans="2:30" x14ac:dyDescent="0.25">
      <c r="B368" s="93"/>
      <c r="C368" s="84"/>
      <c r="D368" s="84"/>
      <c r="E368" s="87"/>
      <c r="F368" s="87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</row>
    <row r="369" spans="2:30" x14ac:dyDescent="0.25">
      <c r="B369" s="93"/>
      <c r="C369" s="84"/>
      <c r="D369" s="84"/>
      <c r="E369" s="87"/>
      <c r="F369" s="87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</row>
    <row r="370" spans="2:30" x14ac:dyDescent="0.25">
      <c r="B370" s="93"/>
      <c r="C370" s="84"/>
      <c r="D370" s="84"/>
      <c r="E370" s="87"/>
      <c r="F370" s="87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</row>
    <row r="371" spans="2:30" x14ac:dyDescent="0.25">
      <c r="B371" s="93"/>
      <c r="C371" s="84"/>
      <c r="D371" s="84"/>
      <c r="E371" s="87"/>
      <c r="F371" s="87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</row>
    <row r="372" spans="2:30" x14ac:dyDescent="0.25">
      <c r="B372" s="93"/>
      <c r="C372" s="84"/>
      <c r="D372" s="84"/>
      <c r="E372" s="87"/>
      <c r="F372" s="87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4"/>
      <c r="AC372" s="84"/>
      <c r="AD372" s="84"/>
    </row>
    <row r="373" spans="2:30" x14ac:dyDescent="0.25">
      <c r="B373" s="93"/>
      <c r="C373" s="84"/>
      <c r="D373" s="84"/>
      <c r="E373" s="87"/>
      <c r="F373" s="87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4"/>
      <c r="AC373" s="84"/>
      <c r="AD373" s="84"/>
    </row>
    <row r="374" spans="2:30" x14ac:dyDescent="0.25">
      <c r="B374" s="93"/>
      <c r="C374" s="84"/>
      <c r="D374" s="84"/>
      <c r="E374" s="87"/>
      <c r="F374" s="87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4"/>
      <c r="AC374" s="84"/>
      <c r="AD374" s="84"/>
    </row>
    <row r="375" spans="2:30" x14ac:dyDescent="0.25">
      <c r="B375" s="93"/>
      <c r="C375" s="84"/>
      <c r="D375" s="84"/>
      <c r="E375" s="87"/>
      <c r="F375" s="87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4"/>
      <c r="AC375" s="84"/>
      <c r="AD375" s="84"/>
    </row>
    <row r="376" spans="2:30" x14ac:dyDescent="0.25">
      <c r="B376" s="93"/>
      <c r="C376" s="84"/>
      <c r="D376" s="84"/>
      <c r="E376" s="87"/>
      <c r="F376" s="87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</row>
    <row r="377" spans="2:30" x14ac:dyDescent="0.25">
      <c r="B377" s="93"/>
      <c r="C377" s="84"/>
      <c r="D377" s="84"/>
      <c r="E377" s="87"/>
      <c r="F377" s="87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</row>
    <row r="378" spans="2:30" x14ac:dyDescent="0.25">
      <c r="B378" s="93"/>
      <c r="C378" s="84"/>
      <c r="D378" s="84"/>
      <c r="E378" s="87"/>
      <c r="F378" s="87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</row>
    <row r="379" spans="2:30" x14ac:dyDescent="0.25">
      <c r="B379" s="93"/>
      <c r="C379" s="84"/>
      <c r="D379" s="84"/>
      <c r="E379" s="87"/>
      <c r="F379" s="87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</row>
    <row r="380" spans="2:30" x14ac:dyDescent="0.25">
      <c r="B380" s="93"/>
      <c r="C380" s="84"/>
      <c r="D380" s="84"/>
      <c r="E380" s="87"/>
      <c r="F380" s="87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</row>
    <row r="381" spans="2:30" x14ac:dyDescent="0.25">
      <c r="B381" s="93"/>
      <c r="C381" s="84"/>
      <c r="D381" s="84"/>
      <c r="E381" s="87"/>
      <c r="F381" s="87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</row>
    <row r="382" spans="2:30" x14ac:dyDescent="0.25">
      <c r="B382" s="93"/>
      <c r="C382" s="84"/>
      <c r="D382" s="84"/>
      <c r="E382" s="87"/>
      <c r="F382" s="87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</row>
    <row r="383" spans="2:30" x14ac:dyDescent="0.25">
      <c r="B383" s="93"/>
      <c r="C383" s="84"/>
      <c r="D383" s="84"/>
      <c r="E383" s="87"/>
      <c r="F383" s="87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</row>
    <row r="384" spans="2:30" x14ac:dyDescent="0.25">
      <c r="B384" s="93"/>
      <c r="C384" s="84"/>
      <c r="D384" s="84"/>
      <c r="E384" s="87"/>
      <c r="F384" s="87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</row>
    <row r="385" spans="2:30" x14ac:dyDescent="0.25">
      <c r="B385" s="93"/>
      <c r="C385" s="84"/>
      <c r="D385" s="84"/>
      <c r="E385" s="87"/>
      <c r="F385" s="87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</row>
    <row r="386" spans="2:30" x14ac:dyDescent="0.25">
      <c r="B386" s="93"/>
      <c r="C386" s="84"/>
      <c r="D386" s="84"/>
      <c r="E386" s="87"/>
      <c r="F386" s="87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</row>
    <row r="387" spans="2:30" x14ac:dyDescent="0.25">
      <c r="B387" s="93"/>
      <c r="C387" s="84"/>
      <c r="D387" s="84"/>
      <c r="E387" s="87"/>
      <c r="F387" s="87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</row>
    <row r="388" spans="2:30" x14ac:dyDescent="0.25">
      <c r="B388" s="93"/>
      <c r="C388" s="84"/>
      <c r="D388" s="84"/>
      <c r="E388" s="87"/>
      <c r="F388" s="87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4"/>
      <c r="AC388" s="84"/>
      <c r="AD388" s="84"/>
    </row>
    <row r="389" spans="2:30" x14ac:dyDescent="0.25">
      <c r="B389" s="93"/>
      <c r="C389" s="84"/>
      <c r="D389" s="84"/>
      <c r="E389" s="87"/>
      <c r="F389" s="87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</row>
    <row r="390" spans="2:30" x14ac:dyDescent="0.25">
      <c r="B390" s="93"/>
      <c r="C390" s="84"/>
      <c r="D390" s="84"/>
      <c r="E390" s="87"/>
      <c r="F390" s="87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</row>
    <row r="391" spans="2:30" x14ac:dyDescent="0.25">
      <c r="B391" s="93"/>
      <c r="C391" s="84"/>
      <c r="D391" s="84"/>
      <c r="E391" s="87"/>
      <c r="F391" s="87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</row>
    <row r="392" spans="2:30" x14ac:dyDescent="0.25">
      <c r="B392" s="93"/>
      <c r="C392" s="84"/>
      <c r="D392" s="84"/>
      <c r="E392" s="87"/>
      <c r="F392" s="87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</row>
    <row r="393" spans="2:30" x14ac:dyDescent="0.25">
      <c r="B393" s="93"/>
      <c r="C393" s="84"/>
      <c r="D393" s="84"/>
      <c r="E393" s="87"/>
      <c r="F393" s="87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</row>
    <row r="394" spans="2:30" x14ac:dyDescent="0.25">
      <c r="B394" s="93"/>
      <c r="C394" s="84"/>
      <c r="D394" s="84"/>
      <c r="E394" s="87"/>
      <c r="F394" s="87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</row>
    <row r="395" spans="2:30" x14ac:dyDescent="0.25">
      <c r="B395" s="93"/>
      <c r="C395" s="84"/>
      <c r="D395" s="84"/>
      <c r="E395" s="87"/>
      <c r="F395" s="87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</row>
    <row r="396" spans="2:30" x14ac:dyDescent="0.25">
      <c r="B396" s="93"/>
      <c r="C396" s="84"/>
      <c r="D396" s="84"/>
      <c r="E396" s="87"/>
      <c r="F396" s="87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</row>
    <row r="397" spans="2:30" x14ac:dyDescent="0.25">
      <c r="B397" s="93"/>
      <c r="C397" s="84"/>
      <c r="D397" s="84"/>
      <c r="E397" s="87"/>
      <c r="F397" s="87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</row>
    <row r="398" spans="2:30" x14ac:dyDescent="0.25">
      <c r="B398" s="93"/>
      <c r="C398" s="84"/>
      <c r="D398" s="84"/>
      <c r="E398" s="87"/>
      <c r="F398" s="87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</row>
    <row r="399" spans="2:30" x14ac:dyDescent="0.25">
      <c r="B399" s="93"/>
      <c r="C399" s="84"/>
      <c r="D399" s="84"/>
      <c r="E399" s="87"/>
      <c r="F399" s="87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</row>
    <row r="400" spans="2:30" x14ac:dyDescent="0.25">
      <c r="B400" s="93"/>
      <c r="C400" s="84"/>
      <c r="D400" s="84"/>
      <c r="E400" s="87"/>
      <c r="F400" s="87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</row>
    <row r="401" spans="2:30" x14ac:dyDescent="0.25">
      <c r="B401" s="93"/>
      <c r="C401" s="84"/>
      <c r="D401" s="84"/>
      <c r="E401" s="87"/>
      <c r="F401" s="87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</row>
    <row r="402" spans="2:30" x14ac:dyDescent="0.25">
      <c r="B402" s="93"/>
      <c r="C402" s="84"/>
      <c r="D402" s="84"/>
      <c r="E402" s="87"/>
      <c r="F402" s="87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4"/>
      <c r="AC402" s="84"/>
      <c r="AD402" s="84"/>
    </row>
    <row r="403" spans="2:30" x14ac:dyDescent="0.25">
      <c r="B403" s="93"/>
      <c r="C403" s="84"/>
      <c r="D403" s="84"/>
      <c r="E403" s="87"/>
      <c r="F403" s="87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4"/>
      <c r="AC403" s="84"/>
      <c r="AD403" s="84"/>
    </row>
    <row r="404" spans="2:30" x14ac:dyDescent="0.25">
      <c r="B404" s="93"/>
      <c r="C404" s="84"/>
      <c r="D404" s="84"/>
      <c r="E404" s="87"/>
      <c r="F404" s="87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</row>
    <row r="405" spans="2:30" x14ac:dyDescent="0.25">
      <c r="B405" s="93"/>
      <c r="C405" s="84"/>
      <c r="D405" s="84"/>
      <c r="E405" s="87"/>
      <c r="F405" s="87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</row>
    <row r="406" spans="2:30" x14ac:dyDescent="0.25">
      <c r="B406" s="93"/>
      <c r="C406" s="84"/>
      <c r="D406" s="84"/>
      <c r="E406" s="87"/>
      <c r="F406" s="87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</row>
    <row r="407" spans="2:30" x14ac:dyDescent="0.25">
      <c r="B407" s="93"/>
      <c r="C407" s="84"/>
      <c r="D407" s="84"/>
      <c r="E407" s="87"/>
      <c r="F407" s="87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</row>
    <row r="408" spans="2:30" x14ac:dyDescent="0.25">
      <c r="B408" s="93"/>
      <c r="C408" s="84"/>
      <c r="D408" s="84"/>
      <c r="E408" s="87"/>
      <c r="F408" s="87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</row>
    <row r="409" spans="2:30" x14ac:dyDescent="0.25">
      <c r="B409" s="93"/>
      <c r="C409" s="84"/>
      <c r="D409" s="84"/>
      <c r="E409" s="87"/>
      <c r="F409" s="87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</row>
    <row r="410" spans="2:30" x14ac:dyDescent="0.25">
      <c r="B410" s="93"/>
      <c r="C410" s="84"/>
      <c r="D410" s="84"/>
      <c r="E410" s="87"/>
      <c r="F410" s="87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</row>
    <row r="411" spans="2:30" x14ac:dyDescent="0.25">
      <c r="B411" s="93"/>
      <c r="C411" s="84"/>
      <c r="D411" s="84"/>
      <c r="E411" s="87"/>
      <c r="F411" s="87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</row>
    <row r="412" spans="2:30" x14ac:dyDescent="0.25">
      <c r="B412" s="93"/>
      <c r="C412" s="84"/>
      <c r="D412" s="84"/>
      <c r="E412" s="87"/>
      <c r="F412" s="87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</row>
    <row r="413" spans="2:30" x14ac:dyDescent="0.25">
      <c r="B413" s="93"/>
      <c r="C413" s="84"/>
      <c r="D413" s="84"/>
      <c r="E413" s="87"/>
      <c r="F413" s="87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</row>
    <row r="414" spans="2:30" x14ac:dyDescent="0.25">
      <c r="B414" s="93"/>
      <c r="C414" s="84"/>
      <c r="D414" s="84"/>
      <c r="E414" s="87"/>
      <c r="F414" s="87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</row>
    <row r="415" spans="2:30" x14ac:dyDescent="0.25">
      <c r="B415" s="93"/>
      <c r="C415" s="84"/>
      <c r="D415" s="84"/>
      <c r="E415" s="87"/>
      <c r="F415" s="87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</row>
    <row r="416" spans="2:30" x14ac:dyDescent="0.25">
      <c r="B416" s="93"/>
      <c r="C416" s="84"/>
      <c r="D416" s="84"/>
      <c r="E416" s="87"/>
      <c r="F416" s="87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</row>
    <row r="417" spans="2:30" x14ac:dyDescent="0.25">
      <c r="B417" s="93"/>
      <c r="C417" s="84"/>
      <c r="D417" s="84"/>
      <c r="E417" s="87"/>
      <c r="F417" s="87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</row>
    <row r="418" spans="2:30" x14ac:dyDescent="0.25">
      <c r="B418" s="93"/>
      <c r="C418" s="84"/>
      <c r="D418" s="84"/>
      <c r="E418" s="87"/>
      <c r="F418" s="87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</row>
    <row r="419" spans="2:30" x14ac:dyDescent="0.25">
      <c r="B419" s="93"/>
      <c r="C419" s="84"/>
      <c r="D419" s="84"/>
      <c r="E419" s="87"/>
      <c r="F419" s="87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</row>
    <row r="420" spans="2:30" x14ac:dyDescent="0.25">
      <c r="B420" s="93"/>
      <c r="C420" s="84"/>
      <c r="D420" s="84"/>
      <c r="E420" s="87"/>
      <c r="F420" s="87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</row>
    <row r="421" spans="2:30" x14ac:dyDescent="0.25">
      <c r="B421" s="93"/>
      <c r="C421" s="84"/>
      <c r="D421" s="84"/>
      <c r="E421" s="87"/>
      <c r="F421" s="87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</row>
    <row r="422" spans="2:30" x14ac:dyDescent="0.25">
      <c r="B422" s="93"/>
      <c r="C422" s="84"/>
      <c r="D422" s="84"/>
      <c r="E422" s="87"/>
      <c r="F422" s="87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</row>
    <row r="423" spans="2:30" x14ac:dyDescent="0.25">
      <c r="B423" s="93"/>
      <c r="C423" s="84"/>
      <c r="D423" s="84"/>
      <c r="E423" s="87"/>
      <c r="F423" s="87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</row>
    <row r="424" spans="2:30" x14ac:dyDescent="0.25">
      <c r="B424" s="93"/>
      <c r="C424" s="84"/>
      <c r="D424" s="84"/>
      <c r="E424" s="87"/>
      <c r="F424" s="87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</row>
    <row r="425" spans="2:30" x14ac:dyDescent="0.25">
      <c r="B425" s="93"/>
      <c r="C425" s="84"/>
      <c r="D425" s="84"/>
      <c r="E425" s="87"/>
      <c r="F425" s="87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</row>
    <row r="426" spans="2:30" x14ac:dyDescent="0.25">
      <c r="B426" s="93"/>
      <c r="C426" s="84"/>
      <c r="D426" s="84"/>
      <c r="E426" s="87"/>
      <c r="F426" s="87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</row>
    <row r="427" spans="2:30" x14ac:dyDescent="0.25">
      <c r="B427" s="93"/>
      <c r="C427" s="84"/>
      <c r="D427" s="84"/>
      <c r="E427" s="87"/>
      <c r="F427" s="87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</row>
    <row r="428" spans="2:30" x14ac:dyDescent="0.25">
      <c r="B428" s="93"/>
      <c r="C428" s="84"/>
      <c r="D428" s="84"/>
      <c r="E428" s="87"/>
      <c r="F428" s="87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</row>
    <row r="429" spans="2:30" x14ac:dyDescent="0.25">
      <c r="B429" s="93"/>
      <c r="C429" s="84"/>
      <c r="D429" s="84"/>
      <c r="E429" s="87"/>
      <c r="F429" s="87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</row>
    <row r="430" spans="2:30" x14ac:dyDescent="0.25">
      <c r="B430" s="93"/>
      <c r="C430" s="84"/>
      <c r="D430" s="84"/>
      <c r="E430" s="87"/>
      <c r="F430" s="87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4"/>
      <c r="AC430" s="84"/>
      <c r="AD430" s="84"/>
    </row>
    <row r="431" spans="2:30" x14ac:dyDescent="0.25">
      <c r="B431" s="93"/>
      <c r="C431" s="84"/>
      <c r="D431" s="84"/>
      <c r="E431" s="87"/>
      <c r="F431" s="87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4"/>
      <c r="AC431" s="84"/>
      <c r="AD431" s="84"/>
    </row>
    <row r="432" spans="2:30" x14ac:dyDescent="0.25">
      <c r="B432" s="93"/>
      <c r="C432" s="84"/>
      <c r="D432" s="84"/>
      <c r="E432" s="87"/>
      <c r="F432" s="87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4"/>
      <c r="AC432" s="84"/>
      <c r="AD432" s="84"/>
    </row>
    <row r="433" spans="2:30" x14ac:dyDescent="0.25">
      <c r="B433" s="93"/>
      <c r="C433" s="84"/>
      <c r="D433" s="84"/>
      <c r="E433" s="87"/>
      <c r="F433" s="87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4"/>
      <c r="AC433" s="84"/>
      <c r="AD433" s="84"/>
    </row>
    <row r="434" spans="2:30" x14ac:dyDescent="0.25">
      <c r="B434" s="93"/>
      <c r="C434" s="84"/>
      <c r="D434" s="84"/>
      <c r="E434" s="87"/>
      <c r="F434" s="87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4"/>
      <c r="AC434" s="84"/>
      <c r="AD434" s="84"/>
    </row>
    <row r="435" spans="2:30" x14ac:dyDescent="0.25">
      <c r="B435" s="93"/>
      <c r="C435" s="84"/>
      <c r="D435" s="84"/>
      <c r="E435" s="87"/>
      <c r="F435" s="87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4"/>
      <c r="AC435" s="84"/>
      <c r="AD435" s="84"/>
    </row>
    <row r="436" spans="2:30" x14ac:dyDescent="0.25">
      <c r="B436" s="93"/>
      <c r="C436" s="84"/>
      <c r="D436" s="84"/>
      <c r="E436" s="87"/>
      <c r="F436" s="87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4"/>
      <c r="AC436" s="84"/>
      <c r="AD436" s="84"/>
    </row>
    <row r="437" spans="2:30" x14ac:dyDescent="0.25">
      <c r="B437" s="93"/>
      <c r="C437" s="84"/>
      <c r="D437" s="84"/>
      <c r="E437" s="87"/>
      <c r="F437" s="87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4"/>
      <c r="AC437" s="84"/>
      <c r="AD437" s="84"/>
    </row>
    <row r="438" spans="2:30" x14ac:dyDescent="0.25">
      <c r="B438" s="93"/>
      <c r="C438" s="84"/>
      <c r="D438" s="84"/>
      <c r="E438" s="87"/>
      <c r="F438" s="87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4"/>
      <c r="AC438" s="84"/>
      <c r="AD438" s="84"/>
    </row>
    <row r="439" spans="2:30" x14ac:dyDescent="0.25">
      <c r="B439" s="93"/>
      <c r="C439" s="84"/>
      <c r="D439" s="84"/>
      <c r="E439" s="87"/>
      <c r="F439" s="87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</row>
    <row r="440" spans="2:30" x14ac:dyDescent="0.25">
      <c r="B440" s="93"/>
      <c r="C440" s="84"/>
      <c r="D440" s="84"/>
      <c r="E440" s="87"/>
      <c r="F440" s="87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</row>
    <row r="441" spans="2:30" x14ac:dyDescent="0.25">
      <c r="B441" s="93"/>
      <c r="C441" s="84"/>
      <c r="D441" s="84"/>
      <c r="E441" s="87"/>
      <c r="F441" s="87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</row>
    <row r="442" spans="2:30" x14ac:dyDescent="0.25">
      <c r="B442" s="93"/>
      <c r="C442" s="84"/>
      <c r="D442" s="84"/>
      <c r="E442" s="87"/>
      <c r="F442" s="87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</row>
    <row r="443" spans="2:30" x14ac:dyDescent="0.25">
      <c r="B443" s="93"/>
      <c r="C443" s="84"/>
      <c r="D443" s="84"/>
      <c r="E443" s="87"/>
      <c r="F443" s="87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4"/>
      <c r="AC443" s="84"/>
      <c r="AD443" s="84"/>
    </row>
    <row r="444" spans="2:30" x14ac:dyDescent="0.25">
      <c r="B444" s="93"/>
      <c r="C444" s="84"/>
      <c r="D444" s="84"/>
      <c r="E444" s="87"/>
      <c r="F444" s="87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4"/>
      <c r="AC444" s="84"/>
      <c r="AD444" s="84"/>
    </row>
    <row r="445" spans="2:30" x14ac:dyDescent="0.25">
      <c r="B445" s="93"/>
      <c r="C445" s="84"/>
      <c r="D445" s="84"/>
      <c r="E445" s="87"/>
      <c r="F445" s="87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4"/>
      <c r="AC445" s="84"/>
      <c r="AD445" s="84"/>
    </row>
    <row r="446" spans="2:30" x14ac:dyDescent="0.25">
      <c r="B446" s="93"/>
      <c r="C446" s="84"/>
      <c r="D446" s="84"/>
      <c r="E446" s="87"/>
      <c r="F446" s="87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4"/>
      <c r="AC446" s="84"/>
      <c r="AD446" s="84"/>
    </row>
    <row r="447" spans="2:30" x14ac:dyDescent="0.25">
      <c r="B447" s="93"/>
      <c r="C447" s="84"/>
      <c r="D447" s="84"/>
      <c r="E447" s="87"/>
      <c r="F447" s="87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  <c r="AB447" s="84"/>
      <c r="AC447" s="84"/>
      <c r="AD447" s="84"/>
    </row>
    <row r="448" spans="2:30" x14ac:dyDescent="0.25">
      <c r="B448" s="93"/>
      <c r="C448" s="84"/>
      <c r="D448" s="84"/>
      <c r="E448" s="87"/>
      <c r="F448" s="87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  <c r="AB448" s="84"/>
      <c r="AC448" s="84"/>
      <c r="AD448" s="84"/>
    </row>
    <row r="449" spans="2:30" x14ac:dyDescent="0.25">
      <c r="B449" s="93"/>
      <c r="C449" s="84"/>
      <c r="D449" s="84"/>
      <c r="E449" s="87"/>
      <c r="F449" s="87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  <c r="AB449" s="84"/>
      <c r="AC449" s="84"/>
      <c r="AD449" s="84"/>
    </row>
    <row r="450" spans="2:30" x14ac:dyDescent="0.25">
      <c r="B450" s="93"/>
      <c r="C450" s="84"/>
      <c r="D450" s="84"/>
      <c r="E450" s="87"/>
      <c r="F450" s="87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  <c r="AB450" s="84"/>
      <c r="AC450" s="84"/>
      <c r="AD450" s="84"/>
    </row>
    <row r="451" spans="2:30" x14ac:dyDescent="0.25">
      <c r="B451" s="93"/>
      <c r="C451" s="84"/>
      <c r="D451" s="84"/>
      <c r="E451" s="87"/>
      <c r="F451" s="87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  <c r="AB451" s="84"/>
      <c r="AC451" s="84"/>
      <c r="AD451" s="84"/>
    </row>
    <row r="452" spans="2:30" x14ac:dyDescent="0.25">
      <c r="B452" s="93"/>
      <c r="C452" s="84"/>
      <c r="D452" s="84"/>
      <c r="E452" s="87"/>
      <c r="F452" s="87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  <c r="AB452" s="84"/>
      <c r="AC452" s="84"/>
      <c r="AD452" s="84"/>
    </row>
    <row r="453" spans="2:30" x14ac:dyDescent="0.25">
      <c r="B453" s="93"/>
      <c r="C453" s="84"/>
      <c r="D453" s="84"/>
      <c r="E453" s="87"/>
      <c r="F453" s="87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  <c r="AB453" s="84"/>
      <c r="AC453" s="84"/>
      <c r="AD453" s="84"/>
    </row>
    <row r="454" spans="2:30" x14ac:dyDescent="0.25">
      <c r="B454" s="93"/>
      <c r="C454" s="84"/>
      <c r="D454" s="84"/>
      <c r="E454" s="87"/>
      <c r="F454" s="87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  <c r="AB454" s="84"/>
      <c r="AC454" s="84"/>
      <c r="AD454" s="84"/>
    </row>
    <row r="455" spans="2:30" x14ac:dyDescent="0.25">
      <c r="B455" s="93"/>
      <c r="C455" s="84"/>
      <c r="D455" s="84"/>
      <c r="E455" s="87"/>
      <c r="F455" s="87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  <c r="AB455" s="84"/>
      <c r="AC455" s="84"/>
      <c r="AD455" s="84"/>
    </row>
    <row r="456" spans="2:30" x14ac:dyDescent="0.25">
      <c r="B456" s="93"/>
      <c r="C456" s="84"/>
      <c r="D456" s="84"/>
      <c r="E456" s="87"/>
      <c r="F456" s="87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  <c r="AB456" s="84"/>
      <c r="AC456" s="84"/>
      <c r="AD456" s="84"/>
    </row>
    <row r="457" spans="2:30" x14ac:dyDescent="0.25">
      <c r="B457" s="93"/>
      <c r="C457" s="84"/>
      <c r="D457" s="84"/>
      <c r="E457" s="87"/>
      <c r="F457" s="87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  <c r="AB457" s="84"/>
      <c r="AC457" s="84"/>
      <c r="AD457" s="84"/>
    </row>
    <row r="458" spans="2:30" x14ac:dyDescent="0.25">
      <c r="B458" s="93"/>
      <c r="C458" s="84"/>
      <c r="D458" s="84"/>
      <c r="E458" s="87"/>
      <c r="F458" s="87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  <c r="AB458" s="84"/>
      <c r="AC458" s="84"/>
      <c r="AD458" s="84"/>
    </row>
    <row r="459" spans="2:30" x14ac:dyDescent="0.25">
      <c r="B459" s="93"/>
      <c r="C459" s="84"/>
      <c r="D459" s="84"/>
      <c r="E459" s="87"/>
      <c r="F459" s="87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  <c r="AB459" s="84"/>
      <c r="AC459" s="84"/>
      <c r="AD459" s="84"/>
    </row>
    <row r="460" spans="2:30" x14ac:dyDescent="0.25">
      <c r="B460" s="93"/>
      <c r="C460" s="84"/>
      <c r="D460" s="84"/>
      <c r="E460" s="87"/>
      <c r="F460" s="87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  <c r="AB460" s="84"/>
      <c r="AC460" s="84"/>
      <c r="AD460" s="84"/>
    </row>
    <row r="461" spans="2:30" x14ac:dyDescent="0.25">
      <c r="B461" s="93"/>
      <c r="C461" s="84"/>
      <c r="D461" s="84"/>
      <c r="E461" s="87"/>
      <c r="F461" s="87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  <c r="AB461" s="84"/>
      <c r="AC461" s="84"/>
      <c r="AD461" s="84"/>
    </row>
    <row r="462" spans="2:30" x14ac:dyDescent="0.25">
      <c r="B462" s="93"/>
      <c r="C462" s="84"/>
      <c r="D462" s="84"/>
      <c r="E462" s="87"/>
      <c r="F462" s="87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  <c r="AB462" s="84"/>
      <c r="AC462" s="84"/>
      <c r="AD462" s="84"/>
    </row>
    <row r="463" spans="2:30" x14ac:dyDescent="0.25">
      <c r="B463" s="93"/>
      <c r="C463" s="84"/>
      <c r="D463" s="84"/>
      <c r="E463" s="87"/>
      <c r="F463" s="87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  <c r="AB463" s="84"/>
      <c r="AC463" s="84"/>
      <c r="AD463" s="84"/>
    </row>
    <row r="464" spans="2:30" x14ac:dyDescent="0.25">
      <c r="B464" s="93"/>
      <c r="C464" s="84"/>
      <c r="D464" s="84"/>
      <c r="E464" s="87"/>
      <c r="F464" s="87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  <c r="AB464" s="84"/>
      <c r="AC464" s="84"/>
      <c r="AD464" s="84"/>
    </row>
    <row r="465" spans="2:30" x14ac:dyDescent="0.25">
      <c r="B465" s="93"/>
      <c r="C465" s="84"/>
      <c r="D465" s="84"/>
      <c r="E465" s="87"/>
      <c r="F465" s="87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  <c r="AB465" s="84"/>
      <c r="AC465" s="84"/>
      <c r="AD465" s="84"/>
    </row>
    <row r="466" spans="2:30" x14ac:dyDescent="0.25">
      <c r="B466" s="93"/>
      <c r="C466" s="84"/>
      <c r="D466" s="84"/>
      <c r="E466" s="87"/>
      <c r="F466" s="87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  <c r="AB466" s="84"/>
      <c r="AC466" s="84"/>
      <c r="AD466" s="84"/>
    </row>
    <row r="467" spans="2:30" x14ac:dyDescent="0.25">
      <c r="B467" s="93"/>
      <c r="C467" s="84"/>
      <c r="D467" s="84"/>
      <c r="E467" s="87"/>
      <c r="F467" s="87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  <c r="AB467" s="84"/>
      <c r="AC467" s="84"/>
      <c r="AD467" s="84"/>
    </row>
    <row r="468" spans="2:30" x14ac:dyDescent="0.25">
      <c r="B468" s="93"/>
      <c r="C468" s="84"/>
      <c r="D468" s="84"/>
      <c r="E468" s="87"/>
      <c r="F468" s="87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  <c r="AB468" s="84"/>
      <c r="AC468" s="84"/>
      <c r="AD468" s="84"/>
    </row>
    <row r="469" spans="2:30" x14ac:dyDescent="0.25">
      <c r="B469" s="93"/>
      <c r="C469" s="84"/>
      <c r="D469" s="84"/>
      <c r="E469" s="87"/>
      <c r="F469" s="87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  <c r="AB469" s="84"/>
      <c r="AC469" s="84"/>
      <c r="AD469" s="84"/>
    </row>
    <row r="470" spans="2:30" x14ac:dyDescent="0.25">
      <c r="B470" s="93"/>
      <c r="C470" s="84"/>
      <c r="D470" s="84"/>
      <c r="E470" s="87"/>
      <c r="F470" s="87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  <c r="AB470" s="84"/>
      <c r="AC470" s="84"/>
      <c r="AD470" s="84"/>
    </row>
    <row r="471" spans="2:30" x14ac:dyDescent="0.25">
      <c r="B471" s="93"/>
      <c r="C471" s="84"/>
      <c r="D471" s="84"/>
      <c r="E471" s="87"/>
      <c r="F471" s="87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  <c r="AB471" s="84"/>
      <c r="AC471" s="84"/>
      <c r="AD471" s="84"/>
    </row>
    <row r="472" spans="2:30" x14ac:dyDescent="0.25">
      <c r="B472" s="93"/>
      <c r="C472" s="84"/>
      <c r="D472" s="84"/>
      <c r="E472" s="87"/>
      <c r="F472" s="87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  <c r="AB472" s="84"/>
      <c r="AC472" s="84"/>
      <c r="AD472" s="84"/>
    </row>
    <row r="473" spans="2:30" x14ac:dyDescent="0.25">
      <c r="B473" s="93"/>
      <c r="C473" s="84"/>
      <c r="D473" s="84"/>
      <c r="E473" s="87"/>
      <c r="F473" s="87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  <c r="AB473" s="84"/>
      <c r="AC473" s="84"/>
      <c r="AD473" s="84"/>
    </row>
    <row r="474" spans="2:30" x14ac:dyDescent="0.25">
      <c r="B474" s="93"/>
      <c r="C474" s="84"/>
      <c r="D474" s="84"/>
      <c r="E474" s="87"/>
      <c r="F474" s="87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  <c r="AB474" s="84"/>
      <c r="AC474" s="84"/>
      <c r="AD474" s="84"/>
    </row>
    <row r="475" spans="2:30" x14ac:dyDescent="0.25">
      <c r="B475" s="93"/>
      <c r="C475" s="84"/>
      <c r="D475" s="84"/>
      <c r="E475" s="87"/>
      <c r="F475" s="87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  <c r="AB475" s="84"/>
      <c r="AC475" s="84"/>
      <c r="AD475" s="84"/>
    </row>
    <row r="476" spans="2:30" x14ac:dyDescent="0.25">
      <c r="B476" s="93"/>
      <c r="C476" s="84"/>
      <c r="D476" s="84"/>
      <c r="E476" s="87"/>
      <c r="F476" s="87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  <c r="AB476" s="84"/>
      <c r="AC476" s="84"/>
      <c r="AD476" s="84"/>
    </row>
    <row r="477" spans="2:30" x14ac:dyDescent="0.25">
      <c r="B477" s="93"/>
      <c r="C477" s="84"/>
      <c r="D477" s="84"/>
      <c r="E477" s="87"/>
      <c r="F477" s="87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  <c r="AB477" s="84"/>
      <c r="AC477" s="84"/>
      <c r="AD477" s="84"/>
    </row>
    <row r="478" spans="2:30" x14ac:dyDescent="0.25">
      <c r="B478" s="93"/>
      <c r="C478" s="84"/>
      <c r="D478" s="84"/>
      <c r="E478" s="87"/>
      <c r="F478" s="87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  <c r="AB478" s="84"/>
      <c r="AC478" s="84"/>
      <c r="AD478" s="84"/>
    </row>
    <row r="479" spans="2:30" x14ac:dyDescent="0.25">
      <c r="B479" s="93"/>
      <c r="C479" s="84"/>
      <c r="D479" s="84"/>
      <c r="E479" s="87"/>
      <c r="F479" s="87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84"/>
      <c r="R479" s="84"/>
      <c r="S479" s="84"/>
      <c r="T479" s="84"/>
      <c r="U479" s="84"/>
      <c r="V479" s="84"/>
      <c r="W479" s="84"/>
      <c r="X479" s="84"/>
      <c r="Y479" s="84"/>
      <c r="Z479" s="84"/>
      <c r="AA479" s="84"/>
      <c r="AB479" s="84"/>
      <c r="AC479" s="84"/>
      <c r="AD479" s="84"/>
    </row>
    <row r="480" spans="2:30" x14ac:dyDescent="0.25">
      <c r="B480" s="93"/>
      <c r="C480" s="84"/>
      <c r="D480" s="84"/>
      <c r="E480" s="87"/>
      <c r="F480" s="87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84"/>
      <c r="R480" s="84"/>
      <c r="S480" s="84"/>
      <c r="T480" s="84"/>
      <c r="U480" s="84"/>
      <c r="V480" s="84"/>
      <c r="W480" s="84"/>
      <c r="X480" s="84"/>
      <c r="Y480" s="84"/>
      <c r="Z480" s="84"/>
      <c r="AA480" s="84"/>
      <c r="AB480" s="84"/>
      <c r="AC480" s="84"/>
      <c r="AD480" s="84"/>
    </row>
    <row r="481" spans="2:30" x14ac:dyDescent="0.25">
      <c r="B481" s="93"/>
      <c r="C481" s="84"/>
      <c r="D481" s="84"/>
      <c r="E481" s="87"/>
      <c r="F481" s="87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84"/>
      <c r="R481" s="84"/>
      <c r="S481" s="84"/>
      <c r="T481" s="84"/>
      <c r="U481" s="84"/>
      <c r="V481" s="84"/>
      <c r="W481" s="84"/>
      <c r="X481" s="84"/>
      <c r="Y481" s="84"/>
      <c r="Z481" s="84"/>
      <c r="AA481" s="84"/>
      <c r="AB481" s="84"/>
      <c r="AC481" s="84"/>
      <c r="AD481" s="84"/>
    </row>
    <row r="482" spans="2:30" x14ac:dyDescent="0.25">
      <c r="B482" s="93"/>
      <c r="C482" s="84"/>
      <c r="D482" s="84"/>
      <c r="E482" s="87"/>
      <c r="F482" s="87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84"/>
      <c r="R482" s="84"/>
      <c r="S482" s="84"/>
      <c r="T482" s="84"/>
      <c r="U482" s="84"/>
      <c r="V482" s="84"/>
      <c r="W482" s="84"/>
      <c r="X482" s="84"/>
      <c r="Y482" s="84"/>
      <c r="Z482" s="84"/>
      <c r="AA482" s="84"/>
      <c r="AB482" s="84"/>
      <c r="AC482" s="84"/>
      <c r="AD482" s="84"/>
    </row>
    <row r="483" spans="2:30" x14ac:dyDescent="0.25">
      <c r="B483" s="93"/>
      <c r="C483" s="84"/>
      <c r="D483" s="84"/>
      <c r="E483" s="87"/>
      <c r="F483" s="87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84"/>
      <c r="R483" s="84"/>
      <c r="S483" s="84"/>
      <c r="T483" s="84"/>
      <c r="U483" s="84"/>
      <c r="V483" s="84"/>
      <c r="W483" s="84"/>
      <c r="X483" s="84"/>
      <c r="Y483" s="84"/>
      <c r="Z483" s="84"/>
      <c r="AA483" s="84"/>
      <c r="AB483" s="84"/>
      <c r="AC483" s="84"/>
      <c r="AD483" s="84"/>
    </row>
    <row r="484" spans="2:30" x14ac:dyDescent="0.25">
      <c r="B484" s="93"/>
      <c r="C484" s="84"/>
      <c r="D484" s="84"/>
      <c r="E484" s="87"/>
      <c r="F484" s="87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84"/>
      <c r="R484" s="84"/>
      <c r="S484" s="84"/>
      <c r="T484" s="84"/>
      <c r="U484" s="84"/>
      <c r="V484" s="84"/>
      <c r="W484" s="84"/>
      <c r="X484" s="84"/>
      <c r="Y484" s="84"/>
      <c r="Z484" s="84"/>
      <c r="AA484" s="84"/>
      <c r="AB484" s="84"/>
      <c r="AC484" s="84"/>
      <c r="AD484" s="84"/>
    </row>
    <row r="485" spans="2:30" x14ac:dyDescent="0.25">
      <c r="B485" s="93"/>
      <c r="C485" s="84"/>
      <c r="D485" s="84"/>
      <c r="E485" s="87"/>
      <c r="F485" s="87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84"/>
      <c r="R485" s="84"/>
      <c r="S485" s="84"/>
      <c r="T485" s="84"/>
      <c r="U485" s="84"/>
      <c r="V485" s="84"/>
      <c r="W485" s="84"/>
      <c r="X485" s="84"/>
      <c r="Y485" s="84"/>
      <c r="Z485" s="84"/>
      <c r="AA485" s="84"/>
      <c r="AB485" s="84"/>
      <c r="AC485" s="84"/>
      <c r="AD485" s="84"/>
    </row>
    <row r="486" spans="2:30" x14ac:dyDescent="0.25">
      <c r="B486" s="93"/>
      <c r="C486" s="84"/>
      <c r="D486" s="84"/>
      <c r="E486" s="87"/>
      <c r="F486" s="87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  <c r="U486" s="84"/>
      <c r="V486" s="84"/>
      <c r="W486" s="84"/>
      <c r="X486" s="84"/>
      <c r="Y486" s="84"/>
      <c r="Z486" s="84"/>
      <c r="AA486" s="84"/>
      <c r="AB486" s="84"/>
      <c r="AC486" s="84"/>
      <c r="AD486" s="84"/>
    </row>
    <row r="487" spans="2:30" x14ac:dyDescent="0.25">
      <c r="B487" s="93"/>
      <c r="C487" s="84"/>
      <c r="D487" s="84"/>
      <c r="E487" s="87"/>
      <c r="F487" s="87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A487" s="84"/>
      <c r="AB487" s="84"/>
      <c r="AC487" s="84"/>
      <c r="AD487" s="84"/>
    </row>
    <row r="488" spans="2:30" x14ac:dyDescent="0.25">
      <c r="B488" s="93"/>
      <c r="C488" s="84"/>
      <c r="D488" s="84"/>
      <c r="E488" s="87"/>
      <c r="F488" s="87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84"/>
      <c r="R488" s="84"/>
      <c r="S488" s="84"/>
      <c r="T488" s="84"/>
      <c r="U488" s="84"/>
      <c r="V488" s="84"/>
      <c r="W488" s="84"/>
      <c r="X488" s="84"/>
      <c r="Y488" s="84"/>
      <c r="Z488" s="84"/>
      <c r="AA488" s="84"/>
      <c r="AB488" s="84"/>
      <c r="AC488" s="84"/>
      <c r="AD488" s="84"/>
    </row>
    <row r="489" spans="2:30" x14ac:dyDescent="0.25">
      <c r="B489" s="93"/>
      <c r="C489" s="84"/>
      <c r="D489" s="84"/>
      <c r="E489" s="87"/>
      <c r="F489" s="87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84"/>
      <c r="U489" s="84"/>
      <c r="V489" s="84"/>
      <c r="W489" s="84"/>
      <c r="X489" s="84"/>
      <c r="Y489" s="84"/>
      <c r="Z489" s="84"/>
      <c r="AA489" s="84"/>
      <c r="AB489" s="84"/>
      <c r="AC489" s="84"/>
      <c r="AD489" s="84"/>
    </row>
    <row r="490" spans="2:30" x14ac:dyDescent="0.25">
      <c r="B490" s="93"/>
      <c r="C490" s="84"/>
      <c r="D490" s="84"/>
      <c r="E490" s="87"/>
      <c r="F490" s="87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84"/>
      <c r="R490" s="84"/>
      <c r="S490" s="84"/>
      <c r="T490" s="84"/>
      <c r="U490" s="84"/>
      <c r="V490" s="84"/>
      <c r="W490" s="84"/>
      <c r="X490" s="84"/>
      <c r="Y490" s="84"/>
      <c r="Z490" s="84"/>
      <c r="AA490" s="84"/>
      <c r="AB490" s="84"/>
      <c r="AC490" s="84"/>
      <c r="AD490" s="84"/>
    </row>
    <row r="491" spans="2:30" x14ac:dyDescent="0.25">
      <c r="B491" s="93"/>
      <c r="C491" s="84"/>
      <c r="D491" s="84"/>
      <c r="E491" s="87"/>
      <c r="F491" s="87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84"/>
      <c r="R491" s="84"/>
      <c r="S491" s="84"/>
      <c r="T491" s="84"/>
      <c r="U491" s="84"/>
      <c r="V491" s="84"/>
      <c r="W491" s="84"/>
      <c r="X491" s="84"/>
      <c r="Y491" s="84"/>
      <c r="Z491" s="84"/>
      <c r="AA491" s="84"/>
      <c r="AB491" s="84"/>
      <c r="AC491" s="84"/>
      <c r="AD491" s="84"/>
    </row>
    <row r="492" spans="2:30" x14ac:dyDescent="0.25">
      <c r="B492" s="93"/>
      <c r="C492" s="84"/>
      <c r="D492" s="84"/>
      <c r="E492" s="87"/>
      <c r="F492" s="87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84"/>
      <c r="R492" s="84"/>
      <c r="S492" s="84"/>
      <c r="T492" s="84"/>
      <c r="U492" s="84"/>
      <c r="V492" s="84"/>
      <c r="W492" s="84"/>
      <c r="X492" s="84"/>
      <c r="Y492" s="84"/>
      <c r="Z492" s="84"/>
      <c r="AA492" s="84"/>
      <c r="AB492" s="84"/>
      <c r="AC492" s="84"/>
      <c r="AD492" s="84"/>
    </row>
    <row r="493" spans="2:30" x14ac:dyDescent="0.25">
      <c r="B493" s="93"/>
      <c r="C493" s="84"/>
      <c r="D493" s="84"/>
      <c r="E493" s="87"/>
      <c r="F493" s="87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84"/>
      <c r="R493" s="84"/>
      <c r="S493" s="84"/>
      <c r="T493" s="84"/>
      <c r="U493" s="84"/>
      <c r="V493" s="84"/>
      <c r="W493" s="84"/>
      <c r="X493" s="84"/>
      <c r="Y493" s="84"/>
      <c r="Z493" s="84"/>
      <c r="AA493" s="84"/>
      <c r="AB493" s="84"/>
      <c r="AC493" s="84"/>
      <c r="AD493" s="84"/>
    </row>
    <row r="494" spans="2:30" x14ac:dyDescent="0.25">
      <c r="B494" s="93"/>
      <c r="C494" s="84"/>
      <c r="D494" s="84"/>
      <c r="E494" s="87"/>
      <c r="F494" s="87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  <c r="S494" s="84"/>
      <c r="T494" s="84"/>
      <c r="U494" s="84"/>
      <c r="V494" s="84"/>
      <c r="W494" s="84"/>
      <c r="X494" s="84"/>
      <c r="Y494" s="84"/>
      <c r="Z494" s="84"/>
      <c r="AA494" s="84"/>
      <c r="AB494" s="84"/>
      <c r="AC494" s="84"/>
      <c r="AD494" s="84"/>
    </row>
    <row r="495" spans="2:30" x14ac:dyDescent="0.25">
      <c r="B495" s="93"/>
      <c r="C495" s="84"/>
      <c r="D495" s="84"/>
      <c r="E495" s="87"/>
      <c r="F495" s="87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84"/>
      <c r="R495" s="84"/>
      <c r="S495" s="84"/>
      <c r="T495" s="84"/>
      <c r="U495" s="84"/>
      <c r="V495" s="84"/>
      <c r="W495" s="84"/>
      <c r="X495" s="84"/>
      <c r="Y495" s="84"/>
      <c r="Z495" s="84"/>
      <c r="AA495" s="84"/>
      <c r="AB495" s="84"/>
      <c r="AC495" s="84"/>
      <c r="AD495" s="84"/>
    </row>
    <row r="496" spans="2:30" x14ac:dyDescent="0.25">
      <c r="B496" s="93"/>
      <c r="C496" s="84"/>
      <c r="D496" s="84"/>
      <c r="E496" s="87"/>
      <c r="F496" s="87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84"/>
      <c r="R496" s="84"/>
      <c r="S496" s="84"/>
      <c r="T496" s="84"/>
      <c r="U496" s="84"/>
      <c r="V496" s="84"/>
      <c r="W496" s="84"/>
      <c r="X496" s="84"/>
      <c r="Y496" s="84"/>
      <c r="Z496" s="84"/>
      <c r="AA496" s="84"/>
      <c r="AB496" s="84"/>
      <c r="AC496" s="84"/>
      <c r="AD496" s="84"/>
    </row>
    <row r="497" spans="2:30" x14ac:dyDescent="0.25">
      <c r="B497" s="93"/>
      <c r="C497" s="84"/>
      <c r="D497" s="84"/>
      <c r="E497" s="87"/>
      <c r="F497" s="87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84"/>
      <c r="R497" s="84"/>
      <c r="S497" s="84"/>
      <c r="T497" s="84"/>
      <c r="U497" s="84"/>
      <c r="V497" s="84"/>
      <c r="W497" s="84"/>
      <c r="X497" s="84"/>
      <c r="Y497" s="84"/>
      <c r="Z497" s="84"/>
      <c r="AA497" s="84"/>
      <c r="AB497" s="84"/>
      <c r="AC497" s="84"/>
      <c r="AD497" s="84"/>
    </row>
    <row r="498" spans="2:30" x14ac:dyDescent="0.25">
      <c r="B498" s="93"/>
      <c r="C498" s="84"/>
      <c r="D498" s="84"/>
      <c r="E498" s="87"/>
      <c r="F498" s="87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84"/>
      <c r="R498" s="84"/>
      <c r="S498" s="84"/>
      <c r="T498" s="84"/>
      <c r="U498" s="84"/>
      <c r="V498" s="84"/>
      <c r="W498" s="84"/>
      <c r="X498" s="84"/>
      <c r="Y498" s="84"/>
      <c r="Z498" s="84"/>
      <c r="AA498" s="84"/>
      <c r="AB498" s="84"/>
      <c r="AC498" s="84"/>
      <c r="AD498" s="84"/>
    </row>
    <row r="499" spans="2:30" x14ac:dyDescent="0.25">
      <c r="B499" s="93"/>
      <c r="C499" s="84"/>
      <c r="D499" s="84"/>
      <c r="E499" s="87"/>
      <c r="F499" s="87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84"/>
      <c r="R499" s="84"/>
      <c r="S499" s="84"/>
      <c r="T499" s="84"/>
      <c r="U499" s="84"/>
      <c r="V499" s="84"/>
      <c r="W499" s="84"/>
      <c r="X499" s="84"/>
      <c r="Y499" s="84"/>
      <c r="Z499" s="84"/>
      <c r="AA499" s="84"/>
      <c r="AB499" s="84"/>
      <c r="AC499" s="84"/>
      <c r="AD499" s="84"/>
    </row>
    <row r="500" spans="2:30" x14ac:dyDescent="0.25">
      <c r="B500" s="93"/>
      <c r="C500" s="84"/>
      <c r="D500" s="84"/>
      <c r="E500" s="87"/>
      <c r="F500" s="87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84"/>
      <c r="R500" s="84"/>
      <c r="S500" s="84"/>
      <c r="T500" s="84"/>
      <c r="U500" s="84"/>
      <c r="V500" s="84"/>
      <c r="W500" s="84"/>
      <c r="X500" s="84"/>
      <c r="Y500" s="84"/>
      <c r="Z500" s="84"/>
      <c r="AA500" s="84"/>
      <c r="AB500" s="84"/>
      <c r="AC500" s="84"/>
      <c r="AD500" s="84"/>
    </row>
    <row r="501" spans="2:30" x14ac:dyDescent="0.25">
      <c r="B501" s="93"/>
      <c r="C501" s="84"/>
      <c r="D501" s="84"/>
      <c r="E501" s="87"/>
      <c r="F501" s="87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84"/>
      <c r="R501" s="84"/>
      <c r="S501" s="84"/>
      <c r="T501" s="84"/>
      <c r="U501" s="84"/>
      <c r="V501" s="84"/>
      <c r="W501" s="84"/>
      <c r="X501" s="84"/>
      <c r="Y501" s="84"/>
      <c r="Z501" s="84"/>
      <c r="AA501" s="84"/>
      <c r="AB501" s="84"/>
      <c r="AC501" s="84"/>
      <c r="AD501" s="84"/>
    </row>
    <row r="502" spans="2:30" x14ac:dyDescent="0.25">
      <c r="B502" s="93"/>
      <c r="C502" s="84"/>
      <c r="D502" s="84"/>
      <c r="E502" s="87"/>
      <c r="F502" s="87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84"/>
      <c r="R502" s="84"/>
      <c r="S502" s="84"/>
      <c r="T502" s="84"/>
      <c r="U502" s="84"/>
      <c r="V502" s="84"/>
      <c r="W502" s="84"/>
      <c r="X502" s="84"/>
      <c r="Y502" s="84"/>
      <c r="Z502" s="84"/>
      <c r="AA502" s="84"/>
      <c r="AB502" s="84"/>
      <c r="AC502" s="84"/>
      <c r="AD502" s="84"/>
    </row>
    <row r="503" spans="2:30" x14ac:dyDescent="0.25">
      <c r="B503" s="93"/>
      <c r="C503" s="84"/>
      <c r="D503" s="84"/>
      <c r="E503" s="87"/>
      <c r="F503" s="87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A503" s="84"/>
      <c r="AB503" s="84"/>
      <c r="AC503" s="84"/>
      <c r="AD503" s="84"/>
    </row>
    <row r="504" spans="2:30" x14ac:dyDescent="0.25">
      <c r="B504" s="93"/>
      <c r="C504" s="84"/>
      <c r="D504" s="84"/>
      <c r="E504" s="87"/>
      <c r="F504" s="87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84"/>
      <c r="R504" s="84"/>
      <c r="S504" s="84"/>
      <c r="T504" s="84"/>
      <c r="U504" s="84"/>
      <c r="V504" s="84"/>
      <c r="W504" s="84"/>
      <c r="X504" s="84"/>
      <c r="Y504" s="84"/>
      <c r="Z504" s="84"/>
      <c r="AA504" s="84"/>
      <c r="AB504" s="84"/>
      <c r="AC504" s="84"/>
      <c r="AD504" s="84"/>
    </row>
    <row r="505" spans="2:30" x14ac:dyDescent="0.25">
      <c r="B505" s="93"/>
      <c r="C505" s="84"/>
      <c r="D505" s="84"/>
      <c r="E505" s="87"/>
      <c r="F505" s="87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84"/>
      <c r="R505" s="84"/>
      <c r="S505" s="84"/>
      <c r="T505" s="84"/>
      <c r="U505" s="84"/>
      <c r="V505" s="84"/>
      <c r="W505" s="84"/>
      <c r="X505" s="84"/>
      <c r="Y505" s="84"/>
      <c r="Z505" s="84"/>
      <c r="AA505" s="84"/>
      <c r="AB505" s="84"/>
      <c r="AC505" s="84"/>
      <c r="AD505" s="84"/>
    </row>
    <row r="506" spans="2:30" x14ac:dyDescent="0.25">
      <c r="B506" s="93"/>
      <c r="C506" s="84"/>
      <c r="D506" s="84"/>
      <c r="E506" s="87"/>
      <c r="F506" s="87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84"/>
      <c r="R506" s="84"/>
      <c r="S506" s="84"/>
      <c r="T506" s="84"/>
      <c r="U506" s="84"/>
      <c r="V506" s="84"/>
      <c r="W506" s="84"/>
      <c r="X506" s="84"/>
      <c r="Y506" s="84"/>
      <c r="Z506" s="84"/>
      <c r="AA506" s="84"/>
      <c r="AB506" s="84"/>
      <c r="AC506" s="84"/>
      <c r="AD506" s="84"/>
    </row>
    <row r="507" spans="2:30" x14ac:dyDescent="0.25">
      <c r="B507" s="93"/>
      <c r="C507" s="84"/>
      <c r="D507" s="84"/>
      <c r="E507" s="87"/>
      <c r="F507" s="87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84"/>
      <c r="R507" s="84"/>
      <c r="S507" s="84"/>
      <c r="T507" s="84"/>
      <c r="U507" s="84"/>
      <c r="V507" s="84"/>
      <c r="W507" s="84"/>
      <c r="X507" s="84"/>
      <c r="Y507" s="84"/>
      <c r="Z507" s="84"/>
      <c r="AA507" s="84"/>
      <c r="AB507" s="84"/>
      <c r="AC507" s="84"/>
      <c r="AD507" s="84"/>
    </row>
    <row r="508" spans="2:30" x14ac:dyDescent="0.25">
      <c r="B508" s="93"/>
      <c r="C508" s="84"/>
      <c r="D508" s="84"/>
      <c r="E508" s="87"/>
      <c r="F508" s="87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84"/>
      <c r="R508" s="84"/>
      <c r="S508" s="84"/>
      <c r="T508" s="84"/>
      <c r="U508" s="84"/>
      <c r="V508" s="84"/>
      <c r="W508" s="84"/>
      <c r="X508" s="84"/>
      <c r="Y508" s="84"/>
      <c r="Z508" s="84"/>
      <c r="AA508" s="84"/>
      <c r="AB508" s="84"/>
      <c r="AC508" s="84"/>
      <c r="AD508" s="84"/>
    </row>
    <row r="509" spans="2:30" x14ac:dyDescent="0.25">
      <c r="B509" s="93"/>
      <c r="C509" s="84"/>
      <c r="D509" s="84"/>
      <c r="E509" s="87"/>
      <c r="F509" s="87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84"/>
      <c r="R509" s="84"/>
      <c r="S509" s="84"/>
      <c r="T509" s="84"/>
      <c r="U509" s="84"/>
      <c r="V509" s="84"/>
      <c r="W509" s="84"/>
      <c r="X509" s="84"/>
      <c r="Y509" s="84"/>
      <c r="Z509" s="84"/>
      <c r="AA509" s="84"/>
      <c r="AB509" s="84"/>
      <c r="AC509" s="84"/>
      <c r="AD509" s="84"/>
    </row>
    <row r="510" spans="2:30" x14ac:dyDescent="0.25">
      <c r="B510" s="93"/>
      <c r="C510" s="84"/>
      <c r="D510" s="84"/>
      <c r="E510" s="87"/>
      <c r="F510" s="87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84"/>
      <c r="R510" s="84"/>
      <c r="S510" s="84"/>
      <c r="T510" s="84"/>
      <c r="U510" s="84"/>
      <c r="V510" s="84"/>
      <c r="W510" s="84"/>
      <c r="X510" s="84"/>
      <c r="Y510" s="84"/>
      <c r="Z510" s="84"/>
      <c r="AA510" s="84"/>
      <c r="AB510" s="84"/>
      <c r="AC510" s="84"/>
      <c r="AD510" s="84"/>
    </row>
    <row r="511" spans="2:30" x14ac:dyDescent="0.25">
      <c r="B511" s="93"/>
      <c r="C511" s="84"/>
      <c r="D511" s="84"/>
      <c r="E511" s="87"/>
      <c r="F511" s="87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84"/>
      <c r="R511" s="84"/>
      <c r="S511" s="84"/>
      <c r="T511" s="84"/>
      <c r="U511" s="84"/>
      <c r="V511" s="84"/>
      <c r="W511" s="84"/>
      <c r="X511" s="84"/>
      <c r="Y511" s="84"/>
      <c r="Z511" s="84"/>
      <c r="AA511" s="84"/>
      <c r="AB511" s="84"/>
      <c r="AC511" s="84"/>
      <c r="AD511" s="84"/>
    </row>
    <row r="512" spans="2:30" x14ac:dyDescent="0.25">
      <c r="B512" s="93"/>
      <c r="C512" s="84"/>
      <c r="D512" s="84"/>
      <c r="E512" s="87"/>
      <c r="F512" s="87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</row>
    <row r="513" spans="2:30" x14ac:dyDescent="0.25">
      <c r="B513" s="93"/>
      <c r="C513" s="84"/>
      <c r="D513" s="84"/>
      <c r="E513" s="87"/>
      <c r="F513" s="87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2:30" x14ac:dyDescent="0.25">
      <c r="B514" s="93"/>
      <c r="C514" s="84"/>
      <c r="D514" s="84"/>
      <c r="E514" s="87"/>
      <c r="F514" s="87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2:30" x14ac:dyDescent="0.25">
      <c r="B515" s="93"/>
      <c r="C515" s="84"/>
      <c r="D515" s="84"/>
      <c r="E515" s="87"/>
      <c r="F515" s="87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2:30" x14ac:dyDescent="0.25">
      <c r="B516" s="93"/>
      <c r="C516" s="84"/>
      <c r="D516" s="84"/>
      <c r="E516" s="87"/>
      <c r="F516" s="87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2:30" x14ac:dyDescent="0.25">
      <c r="B517" s="93"/>
      <c r="C517" s="84"/>
      <c r="D517" s="84"/>
      <c r="E517" s="87"/>
      <c r="F517" s="87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2:30" x14ac:dyDescent="0.25">
      <c r="B518" s="93"/>
      <c r="C518" s="84"/>
      <c r="D518" s="84"/>
      <c r="E518" s="87"/>
      <c r="F518" s="87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2:30" x14ac:dyDescent="0.25">
      <c r="B519" s="93"/>
      <c r="C519" s="84"/>
      <c r="D519" s="84"/>
      <c r="E519" s="87"/>
      <c r="F519" s="87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2:30" x14ac:dyDescent="0.25">
      <c r="B520" s="93"/>
      <c r="C520" s="84"/>
      <c r="D520" s="84"/>
      <c r="E520" s="87"/>
      <c r="F520" s="87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2:30" x14ac:dyDescent="0.25">
      <c r="B521" s="93"/>
      <c r="C521" s="84"/>
      <c r="D521" s="84"/>
      <c r="E521" s="87"/>
      <c r="F521" s="87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2:30" x14ac:dyDescent="0.25">
      <c r="B522" s="93"/>
      <c r="C522" s="84"/>
      <c r="D522" s="84"/>
      <c r="E522" s="87"/>
      <c r="F522" s="87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2:30" x14ac:dyDescent="0.25">
      <c r="B523" s="93"/>
      <c r="C523" s="84"/>
      <c r="D523" s="84"/>
      <c r="E523" s="87"/>
      <c r="F523" s="87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2:30" x14ac:dyDescent="0.25">
      <c r="B524" s="93"/>
      <c r="C524" s="84"/>
      <c r="D524" s="84"/>
      <c r="E524" s="87"/>
      <c r="F524" s="87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2:30" x14ac:dyDescent="0.25">
      <c r="B525" s="93"/>
      <c r="C525" s="84"/>
      <c r="D525" s="84"/>
      <c r="E525" s="87"/>
      <c r="F525" s="87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</row>
    <row r="526" spans="2:30" x14ac:dyDescent="0.25">
      <c r="B526" s="93"/>
      <c r="C526" s="84"/>
      <c r="D526" s="84"/>
      <c r="E526" s="87"/>
      <c r="F526" s="87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84"/>
      <c r="R526" s="84"/>
      <c r="S526" s="84"/>
      <c r="T526" s="84"/>
      <c r="U526" s="84"/>
      <c r="V526" s="84"/>
      <c r="W526" s="84"/>
      <c r="X526" s="84"/>
      <c r="Y526" s="84"/>
      <c r="Z526" s="84"/>
      <c r="AA526" s="84"/>
      <c r="AB526" s="84"/>
      <c r="AC526" s="84"/>
      <c r="AD526" s="84"/>
    </row>
    <row r="527" spans="2:30" x14ac:dyDescent="0.25">
      <c r="B527" s="93"/>
      <c r="C527" s="84"/>
      <c r="D527" s="84"/>
      <c r="E527" s="87"/>
      <c r="F527" s="87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84"/>
      <c r="R527" s="84"/>
      <c r="S527" s="84"/>
      <c r="T527" s="84"/>
      <c r="U527" s="84"/>
      <c r="V527" s="84"/>
      <c r="W527" s="84"/>
      <c r="X527" s="84"/>
      <c r="Y527" s="84"/>
      <c r="Z527" s="84"/>
      <c r="AA527" s="84"/>
      <c r="AB527" s="84"/>
      <c r="AC527" s="84"/>
      <c r="AD527" s="84"/>
    </row>
    <row r="528" spans="2:30" x14ac:dyDescent="0.25">
      <c r="B528" s="93"/>
      <c r="C528" s="84"/>
      <c r="D528" s="84"/>
      <c r="E528" s="87"/>
      <c r="F528" s="87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  <c r="U528" s="84"/>
      <c r="V528" s="84"/>
      <c r="W528" s="84"/>
      <c r="X528" s="84"/>
      <c r="Y528" s="84"/>
      <c r="Z528" s="84"/>
      <c r="AA528" s="84"/>
      <c r="AB528" s="84"/>
      <c r="AC528" s="84"/>
      <c r="AD528" s="84"/>
    </row>
    <row r="529" spans="2:30" x14ac:dyDescent="0.25">
      <c r="B529" s="93"/>
      <c r="C529" s="84"/>
      <c r="D529" s="84"/>
      <c r="E529" s="87"/>
      <c r="F529" s="87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84"/>
      <c r="R529" s="84"/>
      <c r="S529" s="84"/>
      <c r="T529" s="84"/>
      <c r="U529" s="84"/>
      <c r="V529" s="84"/>
      <c r="W529" s="84"/>
      <c r="X529" s="84"/>
      <c r="Y529" s="84"/>
      <c r="Z529" s="84"/>
      <c r="AA529" s="84"/>
      <c r="AB529" s="84"/>
      <c r="AC529" s="84"/>
      <c r="AD529" s="84"/>
    </row>
    <row r="530" spans="2:30" x14ac:dyDescent="0.25">
      <c r="B530" s="93"/>
      <c r="C530" s="84"/>
      <c r="D530" s="84"/>
      <c r="E530" s="87"/>
      <c r="F530" s="87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  <c r="U530" s="84"/>
      <c r="V530" s="84"/>
      <c r="W530" s="84"/>
      <c r="X530" s="84"/>
      <c r="Y530" s="84"/>
      <c r="Z530" s="84"/>
      <c r="AA530" s="84"/>
      <c r="AB530" s="84"/>
      <c r="AC530" s="84"/>
      <c r="AD530" s="84"/>
    </row>
    <row r="531" spans="2:30" x14ac:dyDescent="0.25">
      <c r="B531" s="93"/>
      <c r="C531" s="84"/>
      <c r="D531" s="84"/>
      <c r="E531" s="87"/>
      <c r="F531" s="87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84"/>
      <c r="R531" s="84"/>
      <c r="S531" s="84"/>
      <c r="T531" s="84"/>
      <c r="U531" s="84"/>
      <c r="V531" s="84"/>
      <c r="W531" s="84"/>
      <c r="X531" s="84"/>
      <c r="Y531" s="84"/>
      <c r="Z531" s="84"/>
      <c r="AA531" s="84"/>
      <c r="AB531" s="84"/>
      <c r="AC531" s="84"/>
      <c r="AD531" s="84"/>
    </row>
    <row r="532" spans="2:30" x14ac:dyDescent="0.25">
      <c r="B532" s="93"/>
      <c r="C532" s="84"/>
      <c r="D532" s="84"/>
      <c r="E532" s="87"/>
      <c r="F532" s="87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84"/>
      <c r="R532" s="84"/>
      <c r="S532" s="84"/>
      <c r="T532" s="84"/>
      <c r="U532" s="84"/>
      <c r="V532" s="84"/>
      <c r="W532" s="84"/>
      <c r="X532" s="84"/>
      <c r="Y532" s="84"/>
      <c r="Z532" s="84"/>
      <c r="AA532" s="84"/>
      <c r="AB532" s="84"/>
      <c r="AC532" s="84"/>
      <c r="AD532" s="84"/>
    </row>
    <row r="533" spans="2:30" x14ac:dyDescent="0.25">
      <c r="B533" s="93"/>
      <c r="C533" s="84"/>
      <c r="D533" s="84"/>
      <c r="E533" s="87"/>
      <c r="F533" s="87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84"/>
      <c r="R533" s="84"/>
      <c r="S533" s="84"/>
      <c r="T533" s="84"/>
      <c r="U533" s="84"/>
      <c r="V533" s="84"/>
      <c r="W533" s="84"/>
      <c r="X533" s="84"/>
      <c r="Y533" s="84"/>
      <c r="Z533" s="84"/>
      <c r="AA533" s="84"/>
      <c r="AB533" s="84"/>
      <c r="AC533" s="84"/>
      <c r="AD533" s="84"/>
    </row>
    <row r="534" spans="2:30" x14ac:dyDescent="0.25">
      <c r="B534" s="93"/>
      <c r="C534" s="84"/>
      <c r="D534" s="84"/>
      <c r="E534" s="87"/>
      <c r="F534" s="87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84"/>
      <c r="R534" s="84"/>
      <c r="S534" s="84"/>
      <c r="T534" s="84"/>
      <c r="U534" s="84"/>
      <c r="V534" s="84"/>
      <c r="W534" s="84"/>
      <c r="X534" s="84"/>
      <c r="Y534" s="84"/>
      <c r="Z534" s="84"/>
      <c r="AA534" s="84"/>
      <c r="AB534" s="84"/>
      <c r="AC534" s="84"/>
      <c r="AD534" s="84"/>
    </row>
    <row r="535" spans="2:30" x14ac:dyDescent="0.25">
      <c r="B535" s="93"/>
      <c r="C535" s="84"/>
      <c r="D535" s="84"/>
      <c r="E535" s="87"/>
      <c r="F535" s="87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84"/>
      <c r="R535" s="84"/>
      <c r="S535" s="84"/>
      <c r="T535" s="84"/>
      <c r="U535" s="84"/>
      <c r="V535" s="84"/>
      <c r="W535" s="84"/>
      <c r="X535" s="84"/>
      <c r="Y535" s="84"/>
      <c r="Z535" s="84"/>
      <c r="AA535" s="84"/>
      <c r="AB535" s="84"/>
      <c r="AC535" s="84"/>
      <c r="AD535" s="84"/>
    </row>
    <row r="536" spans="2:30" x14ac:dyDescent="0.25">
      <c r="B536" s="93"/>
      <c r="C536" s="84"/>
      <c r="D536" s="84"/>
      <c r="E536" s="87"/>
      <c r="F536" s="87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  <c r="Y536" s="84"/>
      <c r="Z536" s="84"/>
      <c r="AA536" s="84"/>
      <c r="AB536" s="84"/>
      <c r="AC536" s="84"/>
      <c r="AD536" s="84"/>
    </row>
    <row r="537" spans="2:30" x14ac:dyDescent="0.25">
      <c r="B537" s="93"/>
      <c r="C537" s="84"/>
      <c r="D537" s="84"/>
      <c r="E537" s="87"/>
      <c r="F537" s="87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  <c r="Y537" s="84"/>
      <c r="Z537" s="84"/>
      <c r="AA537" s="84"/>
      <c r="AB537" s="84"/>
      <c r="AC537" s="84"/>
      <c r="AD537" s="84"/>
    </row>
    <row r="538" spans="2:30" x14ac:dyDescent="0.25">
      <c r="B538" s="93"/>
      <c r="C538" s="84"/>
      <c r="D538" s="84"/>
      <c r="E538" s="87"/>
      <c r="F538" s="87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A538" s="84"/>
      <c r="AB538" s="84"/>
      <c r="AC538" s="84"/>
      <c r="AD538" s="84"/>
    </row>
    <row r="539" spans="2:30" x14ac:dyDescent="0.25">
      <c r="B539" s="93"/>
      <c r="C539" s="84"/>
      <c r="D539" s="84"/>
      <c r="E539" s="87"/>
      <c r="F539" s="87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  <c r="Y539" s="84"/>
      <c r="Z539" s="84"/>
      <c r="AA539" s="84"/>
      <c r="AB539" s="84"/>
      <c r="AC539" s="84"/>
      <c r="AD539" s="84"/>
    </row>
    <row r="540" spans="2:30" x14ac:dyDescent="0.25">
      <c r="B540" s="93"/>
      <c r="C540" s="84"/>
      <c r="D540" s="84"/>
      <c r="E540" s="87"/>
      <c r="F540" s="87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  <c r="Y540" s="84"/>
      <c r="Z540" s="84"/>
      <c r="AA540" s="84"/>
      <c r="AB540" s="84"/>
      <c r="AC540" s="84"/>
      <c r="AD540" s="84"/>
    </row>
    <row r="541" spans="2:30" x14ac:dyDescent="0.25">
      <c r="B541" s="93"/>
      <c r="C541" s="84"/>
      <c r="D541" s="84"/>
      <c r="E541" s="87"/>
      <c r="F541" s="87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  <c r="Y541" s="84"/>
      <c r="Z541" s="84"/>
      <c r="AA541" s="84"/>
      <c r="AB541" s="84"/>
      <c r="AC541" s="84"/>
      <c r="AD541" s="84"/>
    </row>
    <row r="542" spans="2:30" x14ac:dyDescent="0.25">
      <c r="B542" s="93"/>
      <c r="C542" s="84"/>
      <c r="D542" s="84"/>
      <c r="E542" s="87"/>
      <c r="F542" s="87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  <c r="Y542" s="84"/>
      <c r="Z542" s="84"/>
      <c r="AA542" s="84"/>
      <c r="AB542" s="84"/>
      <c r="AC542" s="84"/>
      <c r="AD542" s="84"/>
    </row>
    <row r="543" spans="2:30" x14ac:dyDescent="0.25">
      <c r="B543" s="93"/>
      <c r="C543" s="84"/>
      <c r="D543" s="84"/>
      <c r="E543" s="87"/>
      <c r="F543" s="87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  <c r="Y543" s="84"/>
      <c r="Z543" s="84"/>
      <c r="AA543" s="84"/>
      <c r="AB543" s="84"/>
      <c r="AC543" s="84"/>
      <c r="AD543" s="84"/>
    </row>
    <row r="544" spans="2:30" x14ac:dyDescent="0.25">
      <c r="B544" s="93"/>
      <c r="C544" s="84"/>
      <c r="D544" s="84"/>
      <c r="E544" s="87"/>
      <c r="F544" s="87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  <c r="Y544" s="84"/>
      <c r="Z544" s="84"/>
      <c r="AA544" s="84"/>
      <c r="AB544" s="84"/>
      <c r="AC544" s="84"/>
      <c r="AD544" s="84"/>
    </row>
    <row r="545" spans="2:30" x14ac:dyDescent="0.25">
      <c r="B545" s="93"/>
      <c r="C545" s="84"/>
      <c r="D545" s="84"/>
      <c r="E545" s="87"/>
      <c r="F545" s="87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  <c r="Y545" s="84"/>
      <c r="Z545" s="84"/>
      <c r="AA545" s="84"/>
      <c r="AB545" s="84"/>
      <c r="AC545" s="84"/>
      <c r="AD545" s="84"/>
    </row>
    <row r="546" spans="2:30" x14ac:dyDescent="0.25">
      <c r="B546" s="93"/>
      <c r="C546" s="84"/>
      <c r="D546" s="84"/>
      <c r="E546" s="87"/>
      <c r="F546" s="87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  <c r="Y546" s="84"/>
      <c r="Z546" s="84"/>
      <c r="AA546" s="84"/>
      <c r="AB546" s="84"/>
      <c r="AC546" s="84"/>
      <c r="AD546" s="84"/>
    </row>
    <row r="547" spans="2:30" x14ac:dyDescent="0.25">
      <c r="B547" s="93"/>
      <c r="C547" s="84"/>
      <c r="D547" s="84"/>
      <c r="E547" s="87"/>
      <c r="F547" s="87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84"/>
      <c r="R547" s="84"/>
      <c r="S547" s="84"/>
      <c r="T547" s="84"/>
      <c r="U547" s="84"/>
      <c r="V547" s="84"/>
      <c r="W547" s="84"/>
      <c r="X547" s="84"/>
      <c r="Y547" s="84"/>
      <c r="Z547" s="84"/>
      <c r="AA547" s="84"/>
      <c r="AB547" s="84"/>
      <c r="AC547" s="84"/>
      <c r="AD547" s="84"/>
    </row>
    <row r="548" spans="2:30" x14ac:dyDescent="0.25">
      <c r="B548" s="93"/>
      <c r="C548" s="84"/>
      <c r="D548" s="84"/>
      <c r="E548" s="87"/>
      <c r="F548" s="87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</row>
    <row r="549" spans="2:30" x14ac:dyDescent="0.25">
      <c r="B549" s="93"/>
      <c r="C549" s="84"/>
      <c r="D549" s="84"/>
      <c r="E549" s="87"/>
      <c r="F549" s="87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</row>
    <row r="550" spans="2:30" x14ac:dyDescent="0.25">
      <c r="B550" s="93"/>
      <c r="C550" s="84"/>
      <c r="D550" s="84"/>
      <c r="E550" s="87"/>
      <c r="F550" s="87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</row>
    <row r="551" spans="2:30" x14ac:dyDescent="0.25">
      <c r="B551" s="93"/>
      <c r="C551" s="84"/>
      <c r="D551" s="84"/>
      <c r="E551" s="87"/>
      <c r="F551" s="87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</row>
    <row r="552" spans="2:30" x14ac:dyDescent="0.25">
      <c r="B552" s="93"/>
      <c r="C552" s="84"/>
      <c r="D552" s="84"/>
      <c r="E552" s="87"/>
      <c r="F552" s="87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</row>
    <row r="553" spans="2:30" x14ac:dyDescent="0.25">
      <c r="B553" s="93"/>
      <c r="C553" s="84"/>
      <c r="D553" s="84"/>
      <c r="E553" s="87"/>
      <c r="F553" s="87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</row>
    <row r="554" spans="2:30" x14ac:dyDescent="0.25">
      <c r="B554" s="93"/>
      <c r="C554" s="84"/>
      <c r="D554" s="84"/>
      <c r="E554" s="87"/>
      <c r="F554" s="87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</row>
    <row r="555" spans="2:30" x14ac:dyDescent="0.25">
      <c r="B555" s="93"/>
      <c r="C555" s="84"/>
      <c r="D555" s="84"/>
      <c r="E555" s="87"/>
      <c r="F555" s="87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</row>
    <row r="556" spans="2:30" x14ac:dyDescent="0.25">
      <c r="B556" s="93"/>
      <c r="C556" s="84"/>
      <c r="D556" s="84"/>
      <c r="E556" s="87"/>
      <c r="F556" s="87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</row>
    <row r="557" spans="2:30" x14ac:dyDescent="0.25">
      <c r="B557" s="93"/>
      <c r="C557" s="84"/>
      <c r="D557" s="84"/>
      <c r="E557" s="87"/>
      <c r="F557" s="87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</row>
    <row r="558" spans="2:30" x14ac:dyDescent="0.25">
      <c r="B558" s="93"/>
      <c r="C558" s="84"/>
      <c r="D558" s="84"/>
      <c r="E558" s="87"/>
      <c r="F558" s="87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</row>
    <row r="559" spans="2:30" x14ac:dyDescent="0.25">
      <c r="B559" s="93"/>
      <c r="C559" s="84"/>
      <c r="D559" s="84"/>
      <c r="E559" s="87"/>
      <c r="F559" s="87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84"/>
      <c r="R559" s="84"/>
      <c r="S559" s="84"/>
      <c r="T559" s="84"/>
      <c r="U559" s="84"/>
      <c r="V559" s="84"/>
      <c r="W559" s="84"/>
      <c r="X559" s="84"/>
      <c r="Y559" s="84"/>
      <c r="Z559" s="84"/>
      <c r="AA559" s="84"/>
      <c r="AB559" s="84"/>
      <c r="AC559" s="84"/>
      <c r="AD559" s="84"/>
    </row>
    <row r="560" spans="2:30" x14ac:dyDescent="0.25">
      <c r="B560" s="93"/>
      <c r="C560" s="84"/>
      <c r="D560" s="84"/>
      <c r="E560" s="87"/>
      <c r="F560" s="87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84"/>
      <c r="R560" s="84"/>
      <c r="S560" s="84"/>
      <c r="T560" s="84"/>
      <c r="U560" s="84"/>
      <c r="V560" s="84"/>
      <c r="W560" s="84"/>
      <c r="X560" s="84"/>
      <c r="Y560" s="84"/>
      <c r="Z560" s="84"/>
      <c r="AA560" s="84"/>
      <c r="AB560" s="84"/>
      <c r="AC560" s="84"/>
      <c r="AD560" s="84"/>
    </row>
    <row r="561" spans="2:30" x14ac:dyDescent="0.25">
      <c r="B561" s="93"/>
      <c r="C561" s="84"/>
      <c r="D561" s="84"/>
      <c r="E561" s="87"/>
      <c r="F561" s="87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84"/>
      <c r="R561" s="84"/>
      <c r="S561" s="84"/>
      <c r="T561" s="84"/>
      <c r="U561" s="84"/>
      <c r="V561" s="84"/>
      <c r="W561" s="84"/>
      <c r="X561" s="84"/>
      <c r="Y561" s="84"/>
      <c r="Z561" s="84"/>
      <c r="AA561" s="84"/>
      <c r="AB561" s="84"/>
      <c r="AC561" s="84"/>
      <c r="AD561" s="84"/>
    </row>
    <row r="562" spans="2:30" x14ac:dyDescent="0.25">
      <c r="B562" s="93"/>
      <c r="C562" s="84"/>
      <c r="D562" s="84"/>
      <c r="E562" s="87"/>
      <c r="F562" s="87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84"/>
      <c r="R562" s="84"/>
      <c r="S562" s="84"/>
      <c r="T562" s="84"/>
      <c r="U562" s="84"/>
      <c r="V562" s="84"/>
      <c r="W562" s="84"/>
      <c r="X562" s="84"/>
      <c r="Y562" s="84"/>
      <c r="Z562" s="84"/>
      <c r="AA562" s="84"/>
      <c r="AB562" s="84"/>
      <c r="AC562" s="84"/>
      <c r="AD562" s="84"/>
    </row>
    <row r="563" spans="2:30" x14ac:dyDescent="0.25">
      <c r="B563" s="93"/>
      <c r="C563" s="84"/>
      <c r="D563" s="84"/>
      <c r="E563" s="87"/>
      <c r="F563" s="87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84"/>
      <c r="R563" s="84"/>
      <c r="S563" s="84"/>
      <c r="T563" s="84"/>
      <c r="U563" s="84"/>
      <c r="V563" s="84"/>
      <c r="W563" s="84"/>
      <c r="X563" s="84"/>
      <c r="Y563" s="84"/>
      <c r="Z563" s="84"/>
      <c r="AA563" s="84"/>
      <c r="AB563" s="84"/>
      <c r="AC563" s="84"/>
      <c r="AD563" s="84"/>
    </row>
    <row r="564" spans="2:30" x14ac:dyDescent="0.25">
      <c r="B564" s="93"/>
      <c r="C564" s="84"/>
      <c r="D564" s="84"/>
      <c r="E564" s="87"/>
      <c r="F564" s="87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</row>
    <row r="565" spans="2:30" x14ac:dyDescent="0.25">
      <c r="B565" s="93"/>
      <c r="C565" s="84"/>
      <c r="D565" s="84"/>
      <c r="E565" s="87"/>
      <c r="F565" s="87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</row>
    <row r="566" spans="2:30" x14ac:dyDescent="0.25">
      <c r="B566" s="93"/>
      <c r="C566" s="84"/>
      <c r="D566" s="84"/>
      <c r="E566" s="87"/>
      <c r="F566" s="87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</row>
    <row r="567" spans="2:30" x14ac:dyDescent="0.25">
      <c r="B567" s="93"/>
      <c r="C567" s="84"/>
      <c r="D567" s="84"/>
      <c r="E567" s="87"/>
      <c r="F567" s="87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</row>
    <row r="568" spans="2:30" x14ac:dyDescent="0.25">
      <c r="B568" s="93"/>
      <c r="C568" s="84"/>
      <c r="D568" s="84"/>
      <c r="E568" s="87"/>
      <c r="F568" s="87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</row>
    <row r="569" spans="2:30" x14ac:dyDescent="0.25">
      <c r="B569" s="93"/>
      <c r="C569" s="84"/>
      <c r="D569" s="84"/>
      <c r="E569" s="87"/>
      <c r="F569" s="87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</row>
    <row r="570" spans="2:30" x14ac:dyDescent="0.25">
      <c r="B570" s="93"/>
      <c r="C570" s="84"/>
      <c r="D570" s="84"/>
      <c r="E570" s="87"/>
      <c r="F570" s="87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</row>
    <row r="571" spans="2:30" x14ac:dyDescent="0.25">
      <c r="B571" s="93"/>
      <c r="C571" s="84"/>
      <c r="D571" s="84"/>
      <c r="E571" s="87"/>
      <c r="F571" s="87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</row>
    <row r="572" spans="2:30" x14ac:dyDescent="0.25">
      <c r="B572" s="93"/>
      <c r="C572" s="84"/>
      <c r="D572" s="84"/>
      <c r="E572" s="87"/>
      <c r="F572" s="87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</row>
    <row r="573" spans="2:30" x14ac:dyDescent="0.25">
      <c r="B573" s="93"/>
      <c r="C573" s="84"/>
      <c r="D573" s="84"/>
      <c r="E573" s="87"/>
      <c r="F573" s="87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</row>
    <row r="574" spans="2:30" x14ac:dyDescent="0.25">
      <c r="B574" s="93"/>
      <c r="C574" s="84"/>
      <c r="D574" s="84"/>
      <c r="E574" s="87"/>
      <c r="F574" s="87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</row>
    <row r="575" spans="2:30" x14ac:dyDescent="0.25">
      <c r="B575" s="93"/>
      <c r="C575" s="84"/>
      <c r="D575" s="84"/>
      <c r="E575" s="87"/>
      <c r="F575" s="87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84"/>
      <c r="R575" s="84"/>
      <c r="S575" s="84"/>
      <c r="T575" s="84"/>
      <c r="U575" s="84"/>
      <c r="V575" s="84"/>
      <c r="W575" s="84"/>
      <c r="X575" s="84"/>
      <c r="Y575" s="84"/>
      <c r="Z575" s="84"/>
      <c r="AA575" s="84"/>
      <c r="AB575" s="84"/>
      <c r="AC575" s="84"/>
      <c r="AD575" s="84"/>
    </row>
    <row r="576" spans="2:30" x14ac:dyDescent="0.25">
      <c r="B576" s="93"/>
      <c r="C576" s="84"/>
      <c r="D576" s="84"/>
      <c r="E576" s="87"/>
      <c r="F576" s="87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84"/>
      <c r="R576" s="84"/>
      <c r="S576" s="84"/>
      <c r="T576" s="84"/>
      <c r="U576" s="84"/>
      <c r="V576" s="84"/>
      <c r="W576" s="84"/>
      <c r="X576" s="84"/>
      <c r="Y576" s="84"/>
      <c r="Z576" s="84"/>
      <c r="AA576" s="84"/>
      <c r="AB576" s="84"/>
      <c r="AC576" s="84"/>
      <c r="AD576" s="84"/>
    </row>
    <row r="577" spans="2:30" x14ac:dyDescent="0.25">
      <c r="B577" s="93"/>
      <c r="C577" s="84"/>
      <c r="D577" s="84"/>
      <c r="E577" s="87"/>
      <c r="F577" s="87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</row>
    <row r="578" spans="2:30" x14ac:dyDescent="0.25">
      <c r="B578" s="93"/>
      <c r="C578" s="84"/>
      <c r="D578" s="84"/>
      <c r="E578" s="87"/>
      <c r="F578" s="87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</row>
    <row r="579" spans="2:30" x14ac:dyDescent="0.25">
      <c r="B579" s="93"/>
      <c r="C579" s="84"/>
      <c r="D579" s="84"/>
      <c r="E579" s="87"/>
      <c r="F579" s="87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</row>
    <row r="580" spans="2:30" x14ac:dyDescent="0.25">
      <c r="B580" s="93"/>
      <c r="C580" s="84"/>
      <c r="D580" s="84"/>
      <c r="E580" s="87"/>
      <c r="F580" s="87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</row>
    <row r="581" spans="2:30" x14ac:dyDescent="0.25">
      <c r="B581" s="93"/>
      <c r="C581" s="84"/>
      <c r="D581" s="84"/>
      <c r="E581" s="87"/>
      <c r="F581" s="87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</row>
    <row r="582" spans="2:30" x14ac:dyDescent="0.25">
      <c r="B582" s="93"/>
      <c r="C582" s="84"/>
      <c r="D582" s="84"/>
      <c r="E582" s="87"/>
      <c r="F582" s="87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</row>
    <row r="583" spans="2:30" x14ac:dyDescent="0.25">
      <c r="B583" s="93"/>
      <c r="C583" s="84"/>
      <c r="D583" s="84"/>
      <c r="E583" s="87"/>
      <c r="F583" s="87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</row>
    <row r="584" spans="2:30" x14ac:dyDescent="0.25">
      <c r="B584" s="93"/>
      <c r="C584" s="84"/>
      <c r="D584" s="84"/>
      <c r="E584" s="87"/>
      <c r="F584" s="87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</row>
    <row r="585" spans="2:30" x14ac:dyDescent="0.25">
      <c r="B585" s="93"/>
      <c r="C585" s="84"/>
      <c r="D585" s="84"/>
      <c r="E585" s="87"/>
      <c r="F585" s="87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</row>
    <row r="586" spans="2:30" x14ac:dyDescent="0.25">
      <c r="B586" s="93"/>
      <c r="C586" s="84"/>
      <c r="D586" s="84"/>
      <c r="E586" s="87"/>
      <c r="F586" s="87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</row>
    <row r="587" spans="2:30" x14ac:dyDescent="0.25">
      <c r="B587" s="93"/>
      <c r="C587" s="84"/>
      <c r="D587" s="84"/>
      <c r="E587" s="87"/>
      <c r="F587" s="87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</row>
    <row r="588" spans="2:30" x14ac:dyDescent="0.25">
      <c r="B588" s="93"/>
      <c r="C588" s="84"/>
      <c r="D588" s="84"/>
      <c r="E588" s="87"/>
      <c r="F588" s="87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84"/>
      <c r="R588" s="84"/>
      <c r="S588" s="84"/>
      <c r="T588" s="84"/>
      <c r="U588" s="84"/>
      <c r="V588" s="84"/>
      <c r="W588" s="84"/>
      <c r="X588" s="84"/>
      <c r="Y588" s="84"/>
      <c r="Z588" s="84"/>
      <c r="AA588" s="84"/>
      <c r="AB588" s="84"/>
      <c r="AC588" s="84"/>
      <c r="AD588" s="84"/>
    </row>
    <row r="589" spans="2:30" x14ac:dyDescent="0.25">
      <c r="B589" s="93"/>
      <c r="C589" s="84"/>
      <c r="D589" s="84"/>
      <c r="E589" s="87"/>
      <c r="F589" s="87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84"/>
      <c r="R589" s="84"/>
      <c r="S589" s="84"/>
      <c r="T589" s="84"/>
      <c r="U589" s="84"/>
      <c r="V589" s="84"/>
      <c r="W589" s="84"/>
      <c r="X589" s="84"/>
      <c r="Y589" s="84"/>
      <c r="Z589" s="84"/>
      <c r="AA589" s="84"/>
      <c r="AB589" s="84"/>
      <c r="AC589" s="84"/>
      <c r="AD589" s="84"/>
    </row>
    <row r="590" spans="2:30" x14ac:dyDescent="0.25">
      <c r="B590" s="93"/>
      <c r="C590" s="84"/>
      <c r="D590" s="84"/>
      <c r="E590" s="87"/>
      <c r="F590" s="87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84"/>
      <c r="R590" s="84"/>
      <c r="S590" s="84"/>
      <c r="T590" s="84"/>
      <c r="U590" s="84"/>
      <c r="V590" s="84"/>
      <c r="W590" s="84"/>
      <c r="X590" s="84"/>
      <c r="Y590" s="84"/>
      <c r="Z590" s="84"/>
      <c r="AA590" s="84"/>
      <c r="AB590" s="84"/>
      <c r="AC590" s="84"/>
      <c r="AD590" s="84"/>
    </row>
    <row r="591" spans="2:30" x14ac:dyDescent="0.25">
      <c r="B591" s="93"/>
      <c r="C591" s="84"/>
      <c r="D591" s="84"/>
      <c r="E591" s="87"/>
      <c r="F591" s="87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84"/>
      <c r="R591" s="84"/>
      <c r="S591" s="84"/>
      <c r="T591" s="84"/>
      <c r="U591" s="84"/>
      <c r="V591" s="84"/>
      <c r="W591" s="84"/>
      <c r="X591" s="84"/>
      <c r="Y591" s="84"/>
      <c r="Z591" s="84"/>
      <c r="AA591" s="84"/>
      <c r="AB591" s="84"/>
      <c r="AC591" s="84"/>
      <c r="AD591" s="84"/>
    </row>
    <row r="592" spans="2:30" x14ac:dyDescent="0.25">
      <c r="B592" s="93"/>
      <c r="C592" s="84"/>
      <c r="D592" s="84"/>
      <c r="E592" s="87"/>
      <c r="F592" s="87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  <c r="U592" s="84"/>
      <c r="V592" s="84"/>
      <c r="W592" s="84"/>
      <c r="X592" s="84"/>
      <c r="Y592" s="84"/>
      <c r="Z592" s="84"/>
      <c r="AA592" s="84"/>
      <c r="AB592" s="84"/>
      <c r="AC592" s="84"/>
      <c r="AD592" s="84"/>
    </row>
    <row r="593" spans="2:30" x14ac:dyDescent="0.25">
      <c r="B593" s="93"/>
      <c r="C593" s="84"/>
      <c r="D593" s="84"/>
      <c r="E593" s="87"/>
      <c r="F593" s="87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84"/>
      <c r="R593" s="84"/>
      <c r="S593" s="84"/>
      <c r="T593" s="84"/>
      <c r="U593" s="84"/>
      <c r="V593" s="84"/>
      <c r="W593" s="84"/>
      <c r="X593" s="84"/>
      <c r="Y593" s="84"/>
      <c r="Z593" s="84"/>
      <c r="AA593" s="84"/>
      <c r="AB593" s="84"/>
      <c r="AC593" s="84"/>
      <c r="AD593" s="84"/>
    </row>
    <row r="594" spans="2:30" x14ac:dyDescent="0.25">
      <c r="B594" s="93"/>
      <c r="C594" s="84"/>
      <c r="D594" s="84"/>
      <c r="E594" s="87"/>
      <c r="F594" s="87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84"/>
      <c r="R594" s="84"/>
      <c r="S594" s="84"/>
      <c r="T594" s="84"/>
      <c r="U594" s="84"/>
      <c r="V594" s="84"/>
      <c r="W594" s="84"/>
      <c r="X594" s="84"/>
      <c r="Y594" s="84"/>
      <c r="Z594" s="84"/>
      <c r="AA594" s="84"/>
      <c r="AB594" s="84"/>
      <c r="AC594" s="84"/>
      <c r="AD594" s="84"/>
    </row>
    <row r="595" spans="2:30" x14ac:dyDescent="0.25">
      <c r="B595" s="93"/>
      <c r="C595" s="84"/>
      <c r="D595" s="84"/>
      <c r="E595" s="87"/>
      <c r="F595" s="87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84"/>
      <c r="R595" s="84"/>
      <c r="S595" s="84"/>
      <c r="T595" s="84"/>
      <c r="U595" s="84"/>
      <c r="V595" s="84"/>
      <c r="W595" s="84"/>
      <c r="X595" s="84"/>
      <c r="Y595" s="84"/>
      <c r="Z595" s="84"/>
      <c r="AA595" s="84"/>
      <c r="AB595" s="84"/>
      <c r="AC595" s="84"/>
      <c r="AD595" s="84"/>
    </row>
    <row r="596" spans="2:30" x14ac:dyDescent="0.25">
      <c r="B596" s="93"/>
      <c r="C596" s="84"/>
      <c r="D596" s="84"/>
      <c r="E596" s="87"/>
      <c r="F596" s="87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84"/>
      <c r="R596" s="84"/>
      <c r="S596" s="84"/>
      <c r="T596" s="84"/>
      <c r="U596" s="84"/>
      <c r="V596" s="84"/>
      <c r="W596" s="84"/>
      <c r="X596" s="84"/>
      <c r="Y596" s="84"/>
      <c r="Z596" s="84"/>
      <c r="AA596" s="84"/>
      <c r="AB596" s="84"/>
      <c r="AC596" s="84"/>
      <c r="AD596" s="84"/>
    </row>
    <row r="597" spans="2:30" x14ac:dyDescent="0.25">
      <c r="B597" s="93"/>
      <c r="C597" s="84"/>
      <c r="D597" s="84"/>
      <c r="E597" s="87"/>
      <c r="F597" s="87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84"/>
      <c r="R597" s="84"/>
      <c r="S597" s="84"/>
      <c r="T597" s="84"/>
      <c r="U597" s="84"/>
      <c r="V597" s="84"/>
      <c r="W597" s="84"/>
      <c r="X597" s="84"/>
      <c r="Y597" s="84"/>
      <c r="Z597" s="84"/>
      <c r="AA597" s="84"/>
      <c r="AB597" s="84"/>
      <c r="AC597" s="84"/>
      <c r="AD597" s="84"/>
    </row>
    <row r="598" spans="2:30" x14ac:dyDescent="0.25">
      <c r="B598" s="93"/>
      <c r="C598" s="84"/>
      <c r="D598" s="84"/>
      <c r="E598" s="87"/>
      <c r="F598" s="87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84"/>
      <c r="R598" s="84"/>
      <c r="S598" s="84"/>
      <c r="T598" s="84"/>
      <c r="U598" s="84"/>
      <c r="V598" s="84"/>
      <c r="W598" s="84"/>
      <c r="X598" s="84"/>
      <c r="Y598" s="84"/>
      <c r="Z598" s="84"/>
      <c r="AA598" s="84"/>
      <c r="AB598" s="84"/>
      <c r="AC598" s="84"/>
      <c r="AD598" s="84"/>
    </row>
    <row r="599" spans="2:30" x14ac:dyDescent="0.25">
      <c r="B599" s="93"/>
      <c r="C599" s="84"/>
      <c r="D599" s="84"/>
      <c r="E599" s="87"/>
      <c r="F599" s="87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84"/>
      <c r="R599" s="84"/>
      <c r="S599" s="84"/>
      <c r="T599" s="84"/>
      <c r="U599" s="84"/>
      <c r="V599" s="84"/>
      <c r="W599" s="84"/>
      <c r="X599" s="84"/>
      <c r="Y599" s="84"/>
      <c r="Z599" s="84"/>
      <c r="AA599" s="84"/>
      <c r="AB599" s="84"/>
      <c r="AC599" s="84"/>
      <c r="AD599" s="84"/>
    </row>
    <row r="600" spans="2:30" x14ac:dyDescent="0.25">
      <c r="B600" s="93"/>
      <c r="C600" s="84"/>
      <c r="D600" s="84"/>
      <c r="E600" s="87"/>
      <c r="F600" s="87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84"/>
      <c r="R600" s="84"/>
      <c r="S600" s="84"/>
      <c r="T600" s="84"/>
      <c r="U600" s="84"/>
      <c r="V600" s="84"/>
      <c r="W600" s="84"/>
      <c r="X600" s="84"/>
      <c r="Y600" s="84"/>
      <c r="Z600" s="84"/>
      <c r="AA600" s="84"/>
      <c r="AB600" s="84"/>
      <c r="AC600" s="84"/>
      <c r="AD600" s="84"/>
    </row>
    <row r="601" spans="2:30" x14ac:dyDescent="0.25">
      <c r="B601" s="93"/>
      <c r="C601" s="84"/>
      <c r="D601" s="84"/>
      <c r="E601" s="87"/>
      <c r="F601" s="87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84"/>
      <c r="R601" s="84"/>
      <c r="S601" s="84"/>
      <c r="T601" s="84"/>
      <c r="U601" s="84"/>
      <c r="V601" s="84"/>
      <c r="W601" s="84"/>
      <c r="X601" s="84"/>
      <c r="Y601" s="84"/>
      <c r="Z601" s="84"/>
      <c r="AA601" s="84"/>
      <c r="AB601" s="84"/>
      <c r="AC601" s="84"/>
      <c r="AD601" s="84"/>
    </row>
    <row r="602" spans="2:30" x14ac:dyDescent="0.25">
      <c r="B602" s="93"/>
      <c r="C602" s="84"/>
      <c r="D602" s="84"/>
      <c r="E602" s="87"/>
      <c r="F602" s="87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84"/>
      <c r="R602" s="84"/>
      <c r="S602" s="84"/>
      <c r="T602" s="84"/>
      <c r="U602" s="84"/>
      <c r="V602" s="84"/>
      <c r="W602" s="84"/>
      <c r="X602" s="84"/>
      <c r="Y602" s="84"/>
      <c r="Z602" s="84"/>
      <c r="AA602" s="84"/>
      <c r="AB602" s="84"/>
      <c r="AC602" s="84"/>
      <c r="AD602" s="84"/>
    </row>
    <row r="603" spans="2:30" x14ac:dyDescent="0.25">
      <c r="B603" s="93"/>
      <c r="C603" s="84"/>
      <c r="D603" s="84"/>
      <c r="E603" s="87"/>
      <c r="F603" s="87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84"/>
      <c r="R603" s="84"/>
      <c r="S603" s="84"/>
      <c r="T603" s="84"/>
      <c r="U603" s="84"/>
      <c r="V603" s="84"/>
      <c r="W603" s="84"/>
      <c r="X603" s="84"/>
      <c r="Y603" s="84"/>
      <c r="Z603" s="84"/>
      <c r="AA603" s="84"/>
      <c r="AB603" s="84"/>
      <c r="AC603" s="84"/>
      <c r="AD603" s="84"/>
    </row>
    <row r="604" spans="2:30" x14ac:dyDescent="0.25">
      <c r="B604" s="93"/>
      <c r="C604" s="84"/>
      <c r="D604" s="84"/>
      <c r="E604" s="87"/>
      <c r="F604" s="87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84"/>
      <c r="R604" s="84"/>
      <c r="S604" s="84"/>
      <c r="T604" s="84"/>
      <c r="U604" s="84"/>
      <c r="V604" s="84"/>
      <c r="W604" s="84"/>
      <c r="X604" s="84"/>
      <c r="Y604" s="84"/>
      <c r="Z604" s="84"/>
      <c r="AA604" s="84"/>
      <c r="AB604" s="84"/>
      <c r="AC604" s="84"/>
      <c r="AD604" s="84"/>
    </row>
    <row r="605" spans="2:30" x14ac:dyDescent="0.25">
      <c r="B605" s="93"/>
      <c r="C605" s="84"/>
      <c r="D605" s="84"/>
      <c r="E605" s="87"/>
      <c r="F605" s="87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84"/>
      <c r="R605" s="84"/>
      <c r="S605" s="84"/>
      <c r="T605" s="84"/>
      <c r="U605" s="84"/>
      <c r="V605" s="84"/>
      <c r="W605" s="84"/>
      <c r="X605" s="84"/>
      <c r="Y605" s="84"/>
      <c r="Z605" s="84"/>
      <c r="AA605" s="84"/>
      <c r="AB605" s="84"/>
      <c r="AC605" s="84"/>
      <c r="AD605" s="84"/>
    </row>
    <row r="606" spans="2:30" x14ac:dyDescent="0.25">
      <c r="B606" s="93"/>
      <c r="C606" s="84"/>
      <c r="D606" s="84"/>
      <c r="E606" s="87"/>
      <c r="F606" s="87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</row>
    <row r="607" spans="2:30" x14ac:dyDescent="0.25">
      <c r="B607" s="93"/>
      <c r="C607" s="84"/>
      <c r="D607" s="84"/>
      <c r="E607" s="87"/>
      <c r="F607" s="87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</row>
    <row r="608" spans="2:30" x14ac:dyDescent="0.25">
      <c r="B608" s="93"/>
      <c r="C608" s="84"/>
      <c r="D608" s="84"/>
      <c r="E608" s="87"/>
      <c r="F608" s="87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</row>
    <row r="609" spans="2:30" x14ac:dyDescent="0.25">
      <c r="B609" s="93"/>
      <c r="C609" s="84"/>
      <c r="D609" s="84"/>
      <c r="E609" s="87"/>
      <c r="F609" s="87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</row>
    <row r="610" spans="2:30" x14ac:dyDescent="0.25">
      <c r="B610" s="93"/>
      <c r="C610" s="84"/>
      <c r="D610" s="84"/>
      <c r="E610" s="87"/>
      <c r="F610" s="87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</row>
    <row r="611" spans="2:30" x14ac:dyDescent="0.25">
      <c r="B611" s="93"/>
      <c r="C611" s="84"/>
      <c r="D611" s="84"/>
      <c r="E611" s="87"/>
      <c r="F611" s="87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</row>
    <row r="612" spans="2:30" x14ac:dyDescent="0.25">
      <c r="B612" s="93"/>
      <c r="C612" s="84"/>
      <c r="D612" s="84"/>
      <c r="E612" s="87"/>
      <c r="F612" s="87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</row>
    <row r="613" spans="2:30" x14ac:dyDescent="0.25">
      <c r="B613" s="93"/>
      <c r="C613" s="84"/>
      <c r="D613" s="84"/>
      <c r="E613" s="87"/>
      <c r="F613" s="87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</row>
    <row r="614" spans="2:30" x14ac:dyDescent="0.25">
      <c r="B614" s="93"/>
      <c r="C614" s="84"/>
      <c r="D614" s="84"/>
      <c r="E614" s="87"/>
      <c r="F614" s="87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</row>
    <row r="615" spans="2:30" x14ac:dyDescent="0.25">
      <c r="B615" s="93"/>
      <c r="C615" s="84"/>
      <c r="D615" s="84"/>
      <c r="E615" s="87"/>
      <c r="F615" s="87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</row>
    <row r="616" spans="2:30" x14ac:dyDescent="0.25">
      <c r="B616" s="93"/>
      <c r="C616" s="84"/>
      <c r="D616" s="84"/>
      <c r="E616" s="87"/>
      <c r="F616" s="87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</row>
    <row r="617" spans="2:30" x14ac:dyDescent="0.25">
      <c r="B617" s="93"/>
      <c r="C617" s="84"/>
      <c r="D617" s="84"/>
      <c r="E617" s="87"/>
      <c r="F617" s="87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84"/>
      <c r="AB617" s="84"/>
      <c r="AC617" s="84"/>
      <c r="AD617" s="84"/>
    </row>
    <row r="618" spans="2:30" x14ac:dyDescent="0.25">
      <c r="B618" s="93"/>
      <c r="C618" s="84"/>
      <c r="D618" s="84"/>
      <c r="E618" s="87"/>
      <c r="F618" s="87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  <c r="S618" s="84"/>
      <c r="T618" s="84"/>
      <c r="U618" s="84"/>
      <c r="V618" s="84"/>
      <c r="W618" s="84"/>
      <c r="X618" s="84"/>
      <c r="Y618" s="84"/>
      <c r="Z618" s="84"/>
      <c r="AA618" s="84"/>
      <c r="AB618" s="84"/>
      <c r="AC618" s="84"/>
      <c r="AD618" s="84"/>
    </row>
    <row r="619" spans="2:30" x14ac:dyDescent="0.25">
      <c r="B619" s="93"/>
      <c r="C619" s="84"/>
      <c r="D619" s="84"/>
      <c r="E619" s="87"/>
      <c r="F619" s="87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84"/>
      <c r="R619" s="84"/>
      <c r="S619" s="84"/>
      <c r="T619" s="84"/>
      <c r="U619" s="84"/>
      <c r="V619" s="84"/>
      <c r="W619" s="84"/>
      <c r="X619" s="84"/>
      <c r="Y619" s="84"/>
      <c r="Z619" s="84"/>
      <c r="AA619" s="84"/>
      <c r="AB619" s="84"/>
      <c r="AC619" s="84"/>
      <c r="AD619" s="84"/>
    </row>
    <row r="620" spans="2:30" x14ac:dyDescent="0.25">
      <c r="B620" s="93"/>
      <c r="C620" s="84"/>
      <c r="D620" s="84"/>
      <c r="E620" s="87"/>
      <c r="F620" s="87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84"/>
      <c r="R620" s="84"/>
      <c r="S620" s="84"/>
      <c r="T620" s="84"/>
      <c r="U620" s="84"/>
      <c r="V620" s="84"/>
      <c r="W620" s="84"/>
      <c r="X620" s="84"/>
      <c r="Y620" s="84"/>
      <c r="Z620" s="84"/>
      <c r="AA620" s="84"/>
      <c r="AB620" s="84"/>
      <c r="AC620" s="84"/>
      <c r="AD620" s="84"/>
    </row>
    <row r="621" spans="2:30" x14ac:dyDescent="0.25">
      <c r="B621" s="93"/>
      <c r="C621" s="84"/>
      <c r="D621" s="84"/>
      <c r="E621" s="87"/>
      <c r="F621" s="87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84"/>
      <c r="R621" s="84"/>
      <c r="S621" s="84"/>
      <c r="T621" s="84"/>
      <c r="U621" s="84"/>
      <c r="V621" s="84"/>
      <c r="W621" s="84"/>
      <c r="X621" s="84"/>
      <c r="Y621" s="84"/>
      <c r="Z621" s="84"/>
      <c r="AA621" s="84"/>
      <c r="AB621" s="84"/>
      <c r="AC621" s="84"/>
      <c r="AD621" s="84"/>
    </row>
    <row r="622" spans="2:30" x14ac:dyDescent="0.25">
      <c r="B622" s="93"/>
      <c r="C622" s="84"/>
      <c r="D622" s="84"/>
      <c r="E622" s="87"/>
      <c r="F622" s="87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84"/>
      <c r="R622" s="84"/>
      <c r="S622" s="84"/>
      <c r="T622" s="84"/>
      <c r="U622" s="84"/>
      <c r="V622" s="84"/>
      <c r="W622" s="84"/>
      <c r="X622" s="84"/>
      <c r="Y622" s="84"/>
      <c r="Z622" s="84"/>
      <c r="AA622" s="84"/>
      <c r="AB622" s="84"/>
      <c r="AC622" s="84"/>
      <c r="AD622" s="84"/>
    </row>
    <row r="623" spans="2:30" x14ac:dyDescent="0.25">
      <c r="B623" s="93"/>
      <c r="C623" s="84"/>
      <c r="D623" s="84"/>
      <c r="E623" s="87"/>
      <c r="F623" s="87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84"/>
      <c r="R623" s="84"/>
      <c r="S623" s="84"/>
      <c r="T623" s="84"/>
      <c r="U623" s="84"/>
      <c r="V623" s="84"/>
      <c r="W623" s="84"/>
      <c r="X623" s="84"/>
      <c r="Y623" s="84"/>
      <c r="Z623" s="84"/>
      <c r="AA623" s="84"/>
      <c r="AB623" s="84"/>
      <c r="AC623" s="84"/>
      <c r="AD623" s="84"/>
    </row>
    <row r="624" spans="2:30" x14ac:dyDescent="0.25">
      <c r="B624" s="93"/>
      <c r="C624" s="84"/>
      <c r="D624" s="84"/>
      <c r="E624" s="87"/>
      <c r="F624" s="87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84"/>
      <c r="R624" s="84"/>
      <c r="S624" s="84"/>
      <c r="T624" s="84"/>
      <c r="U624" s="84"/>
      <c r="V624" s="84"/>
      <c r="W624" s="84"/>
      <c r="X624" s="84"/>
      <c r="Y624" s="84"/>
      <c r="Z624" s="84"/>
      <c r="AA624" s="84"/>
      <c r="AB624" s="84"/>
      <c r="AC624" s="84"/>
      <c r="AD624" s="84"/>
    </row>
    <row r="625" spans="2:30" x14ac:dyDescent="0.25">
      <c r="B625" s="93"/>
      <c r="C625" s="84"/>
      <c r="D625" s="84"/>
      <c r="E625" s="87"/>
      <c r="F625" s="87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A625" s="84"/>
      <c r="AB625" s="84"/>
      <c r="AC625" s="84"/>
      <c r="AD625" s="84"/>
    </row>
    <row r="626" spans="2:30" x14ac:dyDescent="0.25">
      <c r="B626" s="93"/>
      <c r="C626" s="84"/>
      <c r="D626" s="84"/>
      <c r="E626" s="87"/>
      <c r="F626" s="87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84"/>
      <c r="R626" s="84"/>
      <c r="S626" s="84"/>
      <c r="T626" s="84"/>
      <c r="U626" s="84"/>
      <c r="V626" s="84"/>
      <c r="W626" s="84"/>
      <c r="X626" s="84"/>
      <c r="Y626" s="84"/>
      <c r="Z626" s="84"/>
      <c r="AA626" s="84"/>
      <c r="AB626" s="84"/>
      <c r="AC626" s="84"/>
      <c r="AD626" s="84"/>
    </row>
    <row r="627" spans="2:30" x14ac:dyDescent="0.25">
      <c r="B627" s="93"/>
      <c r="C627" s="84"/>
      <c r="D627" s="84"/>
      <c r="E627" s="87"/>
      <c r="F627" s="87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84"/>
      <c r="R627" s="84"/>
      <c r="S627" s="84"/>
      <c r="T627" s="84"/>
      <c r="U627" s="84"/>
      <c r="V627" s="84"/>
      <c r="W627" s="84"/>
      <c r="X627" s="84"/>
      <c r="Y627" s="84"/>
      <c r="Z627" s="84"/>
      <c r="AA627" s="84"/>
      <c r="AB627" s="84"/>
      <c r="AC627" s="84"/>
      <c r="AD627" s="84"/>
    </row>
    <row r="628" spans="2:30" x14ac:dyDescent="0.25">
      <c r="B628" s="93"/>
      <c r="C628" s="84"/>
      <c r="D628" s="84"/>
      <c r="E628" s="87"/>
      <c r="F628" s="87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84"/>
      <c r="R628" s="84"/>
      <c r="S628" s="84"/>
      <c r="T628" s="84"/>
      <c r="U628" s="84"/>
      <c r="V628" s="84"/>
      <c r="W628" s="84"/>
      <c r="X628" s="84"/>
      <c r="Y628" s="84"/>
      <c r="Z628" s="84"/>
      <c r="AA628" s="84"/>
      <c r="AB628" s="84"/>
      <c r="AC628" s="84"/>
      <c r="AD628" s="84"/>
    </row>
    <row r="629" spans="2:30" x14ac:dyDescent="0.25">
      <c r="B629" s="93"/>
      <c r="C629" s="84"/>
      <c r="D629" s="84"/>
      <c r="E629" s="87"/>
      <c r="F629" s="87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84"/>
      <c r="R629" s="84"/>
      <c r="S629" s="84"/>
      <c r="T629" s="84"/>
      <c r="U629" s="84"/>
      <c r="V629" s="84"/>
      <c r="W629" s="84"/>
      <c r="X629" s="84"/>
      <c r="Y629" s="84"/>
      <c r="Z629" s="84"/>
      <c r="AA629" s="84"/>
      <c r="AB629" s="84"/>
      <c r="AC629" s="84"/>
      <c r="AD629" s="84"/>
    </row>
    <row r="630" spans="2:30" x14ac:dyDescent="0.25">
      <c r="B630" s="93"/>
      <c r="C630" s="84"/>
      <c r="D630" s="84"/>
      <c r="E630" s="87"/>
      <c r="F630" s="87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84"/>
      <c r="R630" s="84"/>
      <c r="S630" s="84"/>
      <c r="T630" s="84"/>
      <c r="U630" s="84"/>
      <c r="V630" s="84"/>
      <c r="W630" s="84"/>
      <c r="X630" s="84"/>
      <c r="Y630" s="84"/>
      <c r="Z630" s="84"/>
      <c r="AA630" s="84"/>
      <c r="AB630" s="84"/>
      <c r="AC630" s="84"/>
      <c r="AD630" s="84"/>
    </row>
    <row r="631" spans="2:30" x14ac:dyDescent="0.25">
      <c r="B631" s="93"/>
      <c r="C631" s="84"/>
      <c r="D631" s="84"/>
      <c r="E631" s="87"/>
      <c r="F631" s="87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84"/>
      <c r="R631" s="84"/>
      <c r="S631" s="84"/>
      <c r="T631" s="84"/>
      <c r="U631" s="84"/>
      <c r="V631" s="84"/>
      <c r="W631" s="84"/>
      <c r="X631" s="84"/>
      <c r="Y631" s="84"/>
      <c r="Z631" s="84"/>
      <c r="AA631" s="84"/>
      <c r="AB631" s="84"/>
      <c r="AC631" s="84"/>
      <c r="AD631" s="84"/>
    </row>
    <row r="632" spans="2:30" x14ac:dyDescent="0.25">
      <c r="B632" s="93"/>
      <c r="C632" s="84"/>
      <c r="D632" s="84"/>
      <c r="E632" s="87"/>
      <c r="F632" s="87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84"/>
      <c r="R632" s="84"/>
      <c r="S632" s="84"/>
      <c r="T632" s="84"/>
      <c r="U632" s="84"/>
      <c r="V632" s="84"/>
      <c r="W632" s="84"/>
      <c r="X632" s="84"/>
      <c r="Y632" s="84"/>
      <c r="Z632" s="84"/>
      <c r="AA632" s="84"/>
      <c r="AB632" s="84"/>
      <c r="AC632" s="84"/>
      <c r="AD632" s="84"/>
    </row>
    <row r="633" spans="2:30" x14ac:dyDescent="0.25">
      <c r="B633" s="93"/>
      <c r="C633" s="84"/>
      <c r="D633" s="84"/>
      <c r="E633" s="87"/>
      <c r="F633" s="87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84"/>
      <c r="R633" s="84"/>
      <c r="S633" s="84"/>
      <c r="T633" s="84"/>
      <c r="U633" s="84"/>
      <c r="V633" s="84"/>
      <c r="W633" s="84"/>
      <c r="X633" s="84"/>
      <c r="Y633" s="84"/>
      <c r="Z633" s="84"/>
      <c r="AA633" s="84"/>
      <c r="AB633" s="84"/>
      <c r="AC633" s="84"/>
      <c r="AD633" s="84"/>
    </row>
    <row r="634" spans="2:30" x14ac:dyDescent="0.25">
      <c r="B634" s="93"/>
      <c r="C634" s="84"/>
      <c r="D634" s="84"/>
      <c r="E634" s="87"/>
      <c r="F634" s="87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84"/>
      <c r="R634" s="84"/>
      <c r="S634" s="84"/>
      <c r="T634" s="84"/>
      <c r="U634" s="84"/>
      <c r="V634" s="84"/>
      <c r="W634" s="84"/>
      <c r="X634" s="84"/>
      <c r="Y634" s="84"/>
      <c r="Z634" s="84"/>
      <c r="AA634" s="84"/>
      <c r="AB634" s="84"/>
      <c r="AC634" s="84"/>
      <c r="AD634" s="84"/>
    </row>
    <row r="635" spans="2:30" x14ac:dyDescent="0.25">
      <c r="B635" s="93"/>
      <c r="C635" s="84"/>
      <c r="D635" s="84"/>
      <c r="E635" s="87"/>
      <c r="F635" s="87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84"/>
      <c r="R635" s="84"/>
      <c r="S635" s="84"/>
      <c r="T635" s="84"/>
      <c r="U635" s="84"/>
      <c r="V635" s="84"/>
      <c r="W635" s="84"/>
      <c r="X635" s="84"/>
      <c r="Y635" s="84"/>
      <c r="Z635" s="84"/>
      <c r="AA635" s="84"/>
      <c r="AB635" s="84"/>
      <c r="AC635" s="84"/>
      <c r="AD635" s="84"/>
    </row>
    <row r="636" spans="2:30" x14ac:dyDescent="0.25">
      <c r="B636" s="93"/>
      <c r="C636" s="84"/>
      <c r="D636" s="84"/>
      <c r="E636" s="87"/>
      <c r="F636" s="87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84"/>
      <c r="R636" s="84"/>
      <c r="S636" s="84"/>
      <c r="T636" s="84"/>
      <c r="U636" s="84"/>
      <c r="V636" s="84"/>
      <c r="W636" s="84"/>
      <c r="X636" s="84"/>
      <c r="Y636" s="84"/>
      <c r="Z636" s="84"/>
      <c r="AA636" s="84"/>
      <c r="AB636" s="84"/>
      <c r="AC636" s="84"/>
      <c r="AD636" s="84"/>
    </row>
    <row r="637" spans="2:30" x14ac:dyDescent="0.25">
      <c r="B637" s="93"/>
      <c r="C637" s="84"/>
      <c r="D637" s="84"/>
      <c r="E637" s="87"/>
      <c r="F637" s="87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84"/>
      <c r="R637" s="84"/>
      <c r="S637" s="84"/>
      <c r="T637" s="84"/>
      <c r="U637" s="84"/>
      <c r="V637" s="84"/>
      <c r="W637" s="84"/>
      <c r="X637" s="84"/>
      <c r="Y637" s="84"/>
      <c r="Z637" s="84"/>
      <c r="AA637" s="84"/>
      <c r="AB637" s="84"/>
      <c r="AC637" s="84"/>
      <c r="AD637" s="84"/>
    </row>
    <row r="638" spans="2:30" x14ac:dyDescent="0.25">
      <c r="B638" s="93"/>
      <c r="C638" s="84"/>
      <c r="D638" s="84"/>
      <c r="E638" s="87"/>
      <c r="F638" s="87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84"/>
      <c r="R638" s="84"/>
      <c r="S638" s="84"/>
      <c r="T638" s="84"/>
      <c r="U638" s="84"/>
      <c r="V638" s="84"/>
      <c r="W638" s="84"/>
      <c r="X638" s="84"/>
      <c r="Y638" s="84"/>
      <c r="Z638" s="84"/>
      <c r="AA638" s="84"/>
      <c r="AB638" s="84"/>
      <c r="AC638" s="84"/>
      <c r="AD638" s="84"/>
    </row>
    <row r="639" spans="2:30" x14ac:dyDescent="0.25">
      <c r="B639" s="93"/>
      <c r="C639" s="84"/>
      <c r="D639" s="84"/>
      <c r="E639" s="87"/>
      <c r="F639" s="87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84"/>
      <c r="R639" s="84"/>
      <c r="S639" s="84"/>
      <c r="T639" s="84"/>
      <c r="U639" s="84"/>
      <c r="V639" s="84"/>
      <c r="W639" s="84"/>
      <c r="X639" s="84"/>
      <c r="Y639" s="84"/>
      <c r="Z639" s="84"/>
      <c r="AA639" s="84"/>
      <c r="AB639" s="84"/>
      <c r="AC639" s="84"/>
      <c r="AD639" s="84"/>
    </row>
    <row r="640" spans="2:30" x14ac:dyDescent="0.25">
      <c r="B640" s="93"/>
      <c r="C640" s="84"/>
      <c r="D640" s="84"/>
      <c r="E640" s="87"/>
      <c r="F640" s="87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84"/>
      <c r="R640" s="84"/>
      <c r="S640" s="84"/>
      <c r="T640" s="84"/>
      <c r="U640" s="84"/>
      <c r="V640" s="84"/>
      <c r="W640" s="84"/>
      <c r="X640" s="84"/>
      <c r="Y640" s="84"/>
      <c r="Z640" s="84"/>
      <c r="AA640" s="84"/>
      <c r="AB640" s="84"/>
      <c r="AC640" s="84"/>
      <c r="AD640" s="84"/>
    </row>
    <row r="641" spans="2:30" x14ac:dyDescent="0.25">
      <c r="B641" s="93"/>
      <c r="C641" s="84"/>
      <c r="D641" s="84"/>
      <c r="E641" s="87"/>
      <c r="F641" s="87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84"/>
      <c r="R641" s="84"/>
      <c r="S641" s="84"/>
      <c r="T641" s="84"/>
      <c r="U641" s="84"/>
      <c r="V641" s="84"/>
      <c r="W641" s="84"/>
      <c r="X641" s="84"/>
      <c r="Y641" s="84"/>
      <c r="Z641" s="84"/>
      <c r="AA641" s="84"/>
      <c r="AB641" s="84"/>
      <c r="AC641" s="84"/>
      <c r="AD641" s="84"/>
    </row>
    <row r="642" spans="2:30" x14ac:dyDescent="0.25">
      <c r="B642" s="93"/>
      <c r="C642" s="84"/>
      <c r="D642" s="84"/>
      <c r="E642" s="87"/>
      <c r="F642" s="87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A642" s="84"/>
      <c r="AB642" s="84"/>
      <c r="AC642" s="84"/>
      <c r="AD642" s="84"/>
    </row>
    <row r="643" spans="2:30" x14ac:dyDescent="0.25">
      <c r="B643" s="93"/>
      <c r="C643" s="84"/>
      <c r="D643" s="84"/>
      <c r="E643" s="87"/>
      <c r="F643" s="87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84"/>
      <c r="R643" s="84"/>
      <c r="S643" s="84"/>
      <c r="T643" s="84"/>
      <c r="U643" s="84"/>
      <c r="V643" s="84"/>
      <c r="W643" s="84"/>
      <c r="X643" s="84"/>
      <c r="Y643" s="84"/>
      <c r="Z643" s="84"/>
      <c r="AA643" s="84"/>
      <c r="AB643" s="84"/>
      <c r="AC643" s="84"/>
      <c r="AD643" s="84"/>
    </row>
    <row r="644" spans="2:30" x14ac:dyDescent="0.25">
      <c r="B644" s="93"/>
      <c r="C644" s="84"/>
      <c r="D644" s="84"/>
      <c r="E644" s="87"/>
      <c r="F644" s="87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84"/>
      <c r="R644" s="84"/>
      <c r="S644" s="84"/>
      <c r="T644" s="84"/>
      <c r="U644" s="84"/>
      <c r="V644" s="84"/>
      <c r="W644" s="84"/>
      <c r="X644" s="84"/>
      <c r="Y644" s="84"/>
      <c r="Z644" s="84"/>
      <c r="AA644" s="84"/>
      <c r="AB644" s="84"/>
      <c r="AC644" s="84"/>
      <c r="AD644" s="84"/>
    </row>
    <row r="645" spans="2:30" x14ac:dyDescent="0.25">
      <c r="B645" s="93"/>
      <c r="C645" s="84"/>
      <c r="D645" s="84"/>
      <c r="E645" s="87"/>
      <c r="F645" s="87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  <c r="U645" s="84"/>
      <c r="V645" s="84"/>
      <c r="W645" s="84"/>
      <c r="X645" s="84"/>
      <c r="Y645" s="84"/>
      <c r="Z645" s="84"/>
      <c r="AA645" s="84"/>
      <c r="AB645" s="84"/>
      <c r="AC645" s="84"/>
      <c r="AD645" s="84"/>
    </row>
    <row r="646" spans="2:30" x14ac:dyDescent="0.25">
      <c r="B646" s="93"/>
      <c r="C646" s="84"/>
      <c r="D646" s="84"/>
      <c r="E646" s="87"/>
      <c r="F646" s="87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84"/>
      <c r="R646" s="84"/>
      <c r="S646" s="84"/>
      <c r="T646" s="84"/>
      <c r="U646" s="84"/>
      <c r="V646" s="84"/>
      <c r="W646" s="84"/>
      <c r="X646" s="84"/>
      <c r="Y646" s="84"/>
      <c r="Z646" s="84"/>
      <c r="AA646" s="84"/>
      <c r="AB646" s="84"/>
      <c r="AC646" s="84"/>
      <c r="AD646" s="84"/>
    </row>
    <row r="647" spans="2:30" x14ac:dyDescent="0.25">
      <c r="B647" s="93"/>
      <c r="C647" s="84"/>
      <c r="D647" s="84"/>
      <c r="E647" s="87"/>
      <c r="F647" s="87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84"/>
      <c r="R647" s="84"/>
      <c r="S647" s="84"/>
      <c r="T647" s="84"/>
      <c r="U647" s="84"/>
      <c r="V647" s="84"/>
      <c r="W647" s="84"/>
      <c r="X647" s="84"/>
      <c r="Y647" s="84"/>
      <c r="Z647" s="84"/>
      <c r="AA647" s="84"/>
      <c r="AB647" s="84"/>
      <c r="AC647" s="84"/>
      <c r="AD647" s="84"/>
    </row>
    <row r="648" spans="2:30" x14ac:dyDescent="0.25">
      <c r="B648" s="93"/>
      <c r="C648" s="84"/>
      <c r="D648" s="84"/>
      <c r="E648" s="87"/>
      <c r="F648" s="87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84"/>
      <c r="R648" s="84"/>
      <c r="S648" s="84"/>
      <c r="T648" s="84"/>
      <c r="U648" s="84"/>
      <c r="V648" s="84"/>
      <c r="W648" s="84"/>
      <c r="X648" s="84"/>
      <c r="Y648" s="84"/>
      <c r="Z648" s="84"/>
      <c r="AA648" s="84"/>
      <c r="AB648" s="84"/>
      <c r="AC648" s="84"/>
      <c r="AD648" s="84"/>
    </row>
    <row r="649" spans="2:30" x14ac:dyDescent="0.25">
      <c r="B649" s="93"/>
      <c r="C649" s="84"/>
      <c r="D649" s="84"/>
      <c r="E649" s="87"/>
      <c r="F649" s="87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  <c r="S649" s="84"/>
      <c r="T649" s="84"/>
      <c r="U649" s="84"/>
      <c r="V649" s="84"/>
      <c r="W649" s="84"/>
      <c r="X649" s="84"/>
      <c r="Y649" s="84"/>
      <c r="Z649" s="84"/>
      <c r="AA649" s="84"/>
      <c r="AB649" s="84"/>
      <c r="AC649" s="84"/>
      <c r="AD649" s="84"/>
    </row>
    <row r="650" spans="2:30" x14ac:dyDescent="0.25">
      <c r="B650" s="93"/>
      <c r="C650" s="84"/>
      <c r="D650" s="84"/>
      <c r="E650" s="87"/>
      <c r="F650" s="87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84"/>
      <c r="AB650" s="84"/>
      <c r="AC650" s="84"/>
      <c r="AD650" s="84"/>
    </row>
    <row r="651" spans="2:30" x14ac:dyDescent="0.25">
      <c r="B651" s="93"/>
      <c r="C651" s="84"/>
      <c r="D651" s="84"/>
      <c r="E651" s="87"/>
      <c r="F651" s="87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84"/>
      <c r="AB651" s="84"/>
      <c r="AC651" s="84"/>
      <c r="AD651" s="84"/>
    </row>
    <row r="652" spans="2:30" x14ac:dyDescent="0.25">
      <c r="B652" s="93"/>
      <c r="C652" s="84"/>
      <c r="D652" s="84"/>
      <c r="E652" s="87"/>
      <c r="F652" s="87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84"/>
      <c r="R652" s="84"/>
      <c r="S652" s="84"/>
      <c r="T652" s="84"/>
      <c r="U652" s="84"/>
      <c r="V652" s="84"/>
      <c r="W652" s="84"/>
      <c r="X652" s="84"/>
      <c r="Y652" s="84"/>
      <c r="Z652" s="84"/>
      <c r="AA652" s="84"/>
      <c r="AB652" s="84"/>
      <c r="AC652" s="84"/>
      <c r="AD652" s="84"/>
    </row>
    <row r="653" spans="2:30" x14ac:dyDescent="0.25">
      <c r="B653" s="93"/>
      <c r="C653" s="84"/>
      <c r="D653" s="84"/>
      <c r="E653" s="87"/>
      <c r="F653" s="87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84"/>
      <c r="R653" s="84"/>
      <c r="S653" s="84"/>
      <c r="T653" s="84"/>
      <c r="U653" s="84"/>
      <c r="V653" s="84"/>
      <c r="W653" s="84"/>
      <c r="X653" s="84"/>
      <c r="Y653" s="84"/>
      <c r="Z653" s="84"/>
      <c r="AA653" s="84"/>
      <c r="AB653" s="84"/>
      <c r="AC653" s="84"/>
      <c r="AD653" s="84"/>
    </row>
    <row r="654" spans="2:30" x14ac:dyDescent="0.25">
      <c r="B654" s="93"/>
      <c r="C654" s="84"/>
      <c r="D654" s="84"/>
      <c r="E654" s="87"/>
      <c r="F654" s="87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84"/>
      <c r="R654" s="84"/>
      <c r="S654" s="84"/>
      <c r="T654" s="84"/>
      <c r="U654" s="84"/>
      <c r="V654" s="84"/>
      <c r="W654" s="84"/>
      <c r="X654" s="84"/>
      <c r="Y654" s="84"/>
      <c r="Z654" s="84"/>
      <c r="AA654" s="84"/>
      <c r="AB654" s="84"/>
      <c r="AC654" s="84"/>
      <c r="AD654" s="84"/>
    </row>
    <row r="655" spans="2:30" x14ac:dyDescent="0.25">
      <c r="B655" s="93"/>
      <c r="C655" s="84"/>
      <c r="D655" s="84"/>
      <c r="E655" s="87"/>
      <c r="F655" s="87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84"/>
      <c r="R655" s="84"/>
      <c r="S655" s="84"/>
      <c r="T655" s="84"/>
      <c r="U655" s="84"/>
      <c r="V655" s="84"/>
      <c r="W655" s="84"/>
      <c r="X655" s="84"/>
      <c r="Y655" s="84"/>
      <c r="Z655" s="84"/>
      <c r="AA655" s="84"/>
      <c r="AB655" s="84"/>
      <c r="AC655" s="84"/>
      <c r="AD655" s="84"/>
    </row>
    <row r="656" spans="2:30" x14ac:dyDescent="0.25">
      <c r="B656" s="93"/>
      <c r="C656" s="84"/>
      <c r="D656" s="84"/>
      <c r="E656" s="87"/>
      <c r="F656" s="87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84"/>
      <c r="R656" s="84"/>
      <c r="S656" s="84"/>
      <c r="T656" s="84"/>
      <c r="U656" s="84"/>
      <c r="V656" s="84"/>
      <c r="W656" s="84"/>
      <c r="X656" s="84"/>
      <c r="Y656" s="84"/>
      <c r="Z656" s="84"/>
      <c r="AA656" s="84"/>
      <c r="AB656" s="84"/>
      <c r="AC656" s="84"/>
      <c r="AD656" s="84"/>
    </row>
    <row r="657" spans="2:30" x14ac:dyDescent="0.25">
      <c r="B657" s="93"/>
      <c r="C657" s="84"/>
      <c r="D657" s="84"/>
      <c r="E657" s="87"/>
      <c r="F657" s="87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84"/>
      <c r="R657" s="84"/>
      <c r="S657" s="84"/>
      <c r="T657" s="84"/>
      <c r="U657" s="84"/>
      <c r="V657" s="84"/>
      <c r="W657" s="84"/>
      <c r="X657" s="84"/>
      <c r="Y657" s="84"/>
      <c r="Z657" s="84"/>
      <c r="AA657" s="84"/>
      <c r="AB657" s="84"/>
      <c r="AC657" s="84"/>
      <c r="AD657" s="84"/>
    </row>
    <row r="658" spans="2:30" x14ac:dyDescent="0.25">
      <c r="B658" s="93"/>
      <c r="C658" s="84"/>
      <c r="D658" s="84"/>
      <c r="E658" s="87"/>
      <c r="F658" s="87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84"/>
      <c r="R658" s="84"/>
      <c r="S658" s="84"/>
      <c r="T658" s="84"/>
      <c r="U658" s="84"/>
      <c r="V658" s="84"/>
      <c r="W658" s="84"/>
      <c r="X658" s="84"/>
      <c r="Y658" s="84"/>
      <c r="Z658" s="84"/>
      <c r="AA658" s="84"/>
      <c r="AB658" s="84"/>
      <c r="AC658" s="84"/>
      <c r="AD658" s="84"/>
    </row>
    <row r="659" spans="2:30" x14ac:dyDescent="0.25">
      <c r="B659" s="93"/>
      <c r="C659" s="84"/>
      <c r="D659" s="84"/>
      <c r="E659" s="87"/>
      <c r="F659" s="87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84"/>
      <c r="R659" s="84"/>
      <c r="S659" s="84"/>
      <c r="T659" s="84"/>
      <c r="U659" s="84"/>
      <c r="V659" s="84"/>
      <c r="W659" s="84"/>
      <c r="X659" s="84"/>
      <c r="Y659" s="84"/>
      <c r="Z659" s="84"/>
      <c r="AA659" s="84"/>
      <c r="AB659" s="84"/>
      <c r="AC659" s="84"/>
      <c r="AD659" s="84"/>
    </row>
    <row r="660" spans="2:30" x14ac:dyDescent="0.25">
      <c r="B660" s="93"/>
      <c r="C660" s="84"/>
      <c r="D660" s="84"/>
      <c r="E660" s="87"/>
      <c r="F660" s="87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84"/>
      <c r="R660" s="84"/>
      <c r="S660" s="84"/>
      <c r="T660" s="84"/>
      <c r="U660" s="84"/>
      <c r="V660" s="84"/>
      <c r="W660" s="84"/>
      <c r="X660" s="84"/>
      <c r="Y660" s="84"/>
      <c r="Z660" s="84"/>
      <c r="AA660" s="84"/>
      <c r="AB660" s="84"/>
      <c r="AC660" s="84"/>
      <c r="AD660" s="84"/>
    </row>
    <row r="661" spans="2:30" x14ac:dyDescent="0.25">
      <c r="B661" s="93"/>
      <c r="C661" s="84"/>
      <c r="D661" s="84"/>
      <c r="E661" s="87"/>
      <c r="F661" s="87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84"/>
      <c r="R661" s="84"/>
      <c r="S661" s="84"/>
      <c r="T661" s="84"/>
      <c r="U661" s="84"/>
      <c r="V661" s="84"/>
      <c r="W661" s="84"/>
      <c r="X661" s="84"/>
      <c r="Y661" s="84"/>
      <c r="Z661" s="84"/>
      <c r="AA661" s="84"/>
      <c r="AB661" s="84"/>
      <c r="AC661" s="84"/>
      <c r="AD661" s="84"/>
    </row>
    <row r="662" spans="2:30" x14ac:dyDescent="0.25">
      <c r="B662" s="93"/>
      <c r="C662" s="84"/>
      <c r="D662" s="84"/>
      <c r="E662" s="87"/>
      <c r="F662" s="87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84"/>
      <c r="R662" s="84"/>
      <c r="S662" s="84"/>
      <c r="T662" s="84"/>
      <c r="U662" s="84"/>
      <c r="V662" s="84"/>
      <c r="W662" s="84"/>
      <c r="X662" s="84"/>
      <c r="Y662" s="84"/>
      <c r="Z662" s="84"/>
      <c r="AA662" s="84"/>
      <c r="AB662" s="84"/>
      <c r="AC662" s="84"/>
      <c r="AD662" s="84"/>
    </row>
    <row r="663" spans="2:30" x14ac:dyDescent="0.25">
      <c r="B663" s="93"/>
      <c r="C663" s="84"/>
      <c r="D663" s="84"/>
      <c r="E663" s="87"/>
      <c r="F663" s="87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84"/>
      <c r="R663" s="84"/>
      <c r="S663" s="84"/>
      <c r="T663" s="84"/>
      <c r="U663" s="84"/>
      <c r="V663" s="84"/>
      <c r="W663" s="84"/>
      <c r="X663" s="84"/>
      <c r="Y663" s="84"/>
      <c r="Z663" s="84"/>
      <c r="AA663" s="84"/>
      <c r="AB663" s="84"/>
      <c r="AC663" s="84"/>
      <c r="AD663" s="84"/>
    </row>
    <row r="664" spans="2:30" x14ac:dyDescent="0.25">
      <c r="B664" s="93"/>
      <c r="C664" s="84"/>
      <c r="D664" s="84"/>
      <c r="E664" s="87"/>
      <c r="F664" s="87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84"/>
      <c r="R664" s="84"/>
      <c r="S664" s="84"/>
      <c r="T664" s="84"/>
      <c r="U664" s="84"/>
      <c r="V664" s="84"/>
      <c r="W664" s="84"/>
      <c r="X664" s="84"/>
      <c r="Y664" s="84"/>
      <c r="Z664" s="84"/>
      <c r="AA664" s="84"/>
      <c r="AB664" s="84"/>
      <c r="AC664" s="84"/>
      <c r="AD664" s="84"/>
    </row>
    <row r="665" spans="2:30" x14ac:dyDescent="0.25">
      <c r="B665" s="93"/>
      <c r="C665" s="84"/>
      <c r="D665" s="84"/>
      <c r="E665" s="87"/>
      <c r="F665" s="87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84"/>
      <c r="R665" s="84"/>
      <c r="S665" s="84"/>
      <c r="T665" s="84"/>
      <c r="U665" s="84"/>
      <c r="V665" s="84"/>
      <c r="W665" s="84"/>
      <c r="X665" s="84"/>
      <c r="Y665" s="84"/>
      <c r="Z665" s="84"/>
      <c r="AA665" s="84"/>
      <c r="AB665" s="84"/>
      <c r="AC665" s="84"/>
      <c r="AD665" s="84"/>
    </row>
    <row r="666" spans="2:30" x14ac:dyDescent="0.25">
      <c r="B666" s="93"/>
      <c r="C666" s="84"/>
      <c r="D666" s="84"/>
      <c r="E666" s="87"/>
      <c r="F666" s="87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A666" s="84"/>
      <c r="AB666" s="84"/>
      <c r="AC666" s="84"/>
      <c r="AD666" s="84"/>
    </row>
    <row r="667" spans="2:30" x14ac:dyDescent="0.25">
      <c r="B667" s="93"/>
      <c r="C667" s="84"/>
      <c r="D667" s="84"/>
      <c r="E667" s="87"/>
      <c r="F667" s="87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84"/>
      <c r="R667" s="84"/>
      <c r="S667" s="84"/>
      <c r="T667" s="84"/>
      <c r="U667" s="84"/>
      <c r="V667" s="84"/>
      <c r="W667" s="84"/>
      <c r="X667" s="84"/>
      <c r="Y667" s="84"/>
      <c r="Z667" s="84"/>
      <c r="AA667" s="84"/>
      <c r="AB667" s="84"/>
      <c r="AC667" s="84"/>
      <c r="AD667" s="84"/>
    </row>
    <row r="668" spans="2:30" x14ac:dyDescent="0.25">
      <c r="B668" s="93"/>
      <c r="C668" s="84"/>
      <c r="D668" s="84"/>
      <c r="E668" s="87"/>
      <c r="F668" s="87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84"/>
      <c r="R668" s="84"/>
      <c r="S668" s="84"/>
      <c r="T668" s="84"/>
      <c r="U668" s="84"/>
      <c r="V668" s="84"/>
      <c r="W668" s="84"/>
      <c r="X668" s="84"/>
      <c r="Y668" s="84"/>
      <c r="Z668" s="84"/>
      <c r="AA668" s="84"/>
      <c r="AB668" s="84"/>
      <c r="AC668" s="84"/>
      <c r="AD668" s="84"/>
    </row>
    <row r="669" spans="2:30" x14ac:dyDescent="0.25">
      <c r="B669" s="93"/>
      <c r="C669" s="84"/>
      <c r="D669" s="84"/>
      <c r="E669" s="87"/>
      <c r="F669" s="87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84"/>
      <c r="R669" s="84"/>
      <c r="S669" s="84"/>
      <c r="T669" s="84"/>
      <c r="U669" s="84"/>
      <c r="V669" s="84"/>
      <c r="W669" s="84"/>
      <c r="X669" s="84"/>
      <c r="Y669" s="84"/>
      <c r="Z669" s="84"/>
      <c r="AA669" s="84"/>
      <c r="AB669" s="84"/>
      <c r="AC669" s="84"/>
      <c r="AD669" s="84"/>
    </row>
    <row r="670" spans="2:30" x14ac:dyDescent="0.25">
      <c r="B670" s="93"/>
      <c r="C670" s="84"/>
      <c r="D670" s="84"/>
      <c r="E670" s="87"/>
      <c r="F670" s="87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84"/>
      <c r="R670" s="84"/>
      <c r="S670" s="84"/>
      <c r="T670" s="84"/>
      <c r="U670" s="84"/>
      <c r="V670" s="84"/>
      <c r="W670" s="84"/>
      <c r="X670" s="84"/>
      <c r="Y670" s="84"/>
      <c r="Z670" s="84"/>
      <c r="AA670" s="84"/>
      <c r="AB670" s="84"/>
      <c r="AC670" s="84"/>
      <c r="AD670" s="84"/>
    </row>
    <row r="671" spans="2:30" x14ac:dyDescent="0.25">
      <c r="B671" s="93"/>
      <c r="C671" s="84"/>
      <c r="D671" s="84"/>
      <c r="E671" s="87"/>
      <c r="F671" s="87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84"/>
      <c r="R671" s="84"/>
      <c r="S671" s="84"/>
      <c r="T671" s="84"/>
      <c r="U671" s="84"/>
      <c r="V671" s="84"/>
      <c r="W671" s="84"/>
      <c r="X671" s="84"/>
      <c r="Y671" s="84"/>
      <c r="Z671" s="84"/>
      <c r="AA671" s="84"/>
      <c r="AB671" s="84"/>
      <c r="AC671" s="84"/>
      <c r="AD671" s="84"/>
    </row>
    <row r="672" spans="2:30" x14ac:dyDescent="0.25">
      <c r="B672" s="93"/>
      <c r="C672" s="84"/>
      <c r="D672" s="84"/>
      <c r="E672" s="87"/>
      <c r="F672" s="87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84"/>
      <c r="R672" s="84"/>
      <c r="S672" s="84"/>
      <c r="T672" s="84"/>
      <c r="U672" s="84"/>
      <c r="V672" s="84"/>
      <c r="W672" s="84"/>
      <c r="X672" s="84"/>
      <c r="Y672" s="84"/>
      <c r="Z672" s="84"/>
      <c r="AA672" s="84"/>
      <c r="AB672" s="84"/>
      <c r="AC672" s="84"/>
      <c r="AD672" s="84"/>
    </row>
    <row r="673" spans="2:30" x14ac:dyDescent="0.25">
      <c r="B673" s="93"/>
      <c r="C673" s="84"/>
      <c r="D673" s="84"/>
      <c r="E673" s="87"/>
      <c r="F673" s="87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84"/>
      <c r="R673" s="84"/>
      <c r="S673" s="84"/>
      <c r="T673" s="84"/>
      <c r="U673" s="84"/>
      <c r="V673" s="84"/>
      <c r="W673" s="84"/>
      <c r="X673" s="84"/>
      <c r="Y673" s="84"/>
      <c r="Z673" s="84"/>
      <c r="AA673" s="84"/>
      <c r="AB673" s="84"/>
      <c r="AC673" s="84"/>
      <c r="AD673" s="84"/>
    </row>
    <row r="674" spans="2:30" x14ac:dyDescent="0.25">
      <c r="B674" s="93"/>
      <c r="C674" s="84"/>
      <c r="D674" s="84"/>
      <c r="E674" s="87"/>
      <c r="F674" s="87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84"/>
      <c r="R674" s="84"/>
      <c r="S674" s="84"/>
      <c r="T674" s="84"/>
      <c r="U674" s="84"/>
      <c r="V674" s="84"/>
      <c r="W674" s="84"/>
      <c r="X674" s="84"/>
      <c r="Y674" s="84"/>
      <c r="Z674" s="84"/>
      <c r="AA674" s="84"/>
      <c r="AB674" s="84"/>
      <c r="AC674" s="84"/>
      <c r="AD674" s="84"/>
    </row>
    <row r="675" spans="2:30" x14ac:dyDescent="0.25">
      <c r="B675" s="93"/>
      <c r="C675" s="84"/>
      <c r="D675" s="84"/>
      <c r="E675" s="87"/>
      <c r="F675" s="87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84"/>
      <c r="R675" s="84"/>
      <c r="S675" s="84"/>
      <c r="T675" s="84"/>
      <c r="U675" s="84"/>
      <c r="V675" s="84"/>
      <c r="W675" s="84"/>
      <c r="X675" s="84"/>
      <c r="Y675" s="84"/>
      <c r="Z675" s="84"/>
      <c r="AA675" s="84"/>
      <c r="AB675" s="84"/>
      <c r="AC675" s="84"/>
      <c r="AD675" s="84"/>
    </row>
    <row r="676" spans="2:30" x14ac:dyDescent="0.25">
      <c r="B676" s="93"/>
      <c r="C676" s="84"/>
      <c r="D676" s="84"/>
      <c r="E676" s="87"/>
      <c r="F676" s="87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84"/>
      <c r="R676" s="84"/>
      <c r="S676" s="84"/>
      <c r="T676" s="84"/>
      <c r="U676" s="84"/>
      <c r="V676" s="84"/>
      <c r="W676" s="84"/>
      <c r="X676" s="84"/>
      <c r="Y676" s="84"/>
      <c r="Z676" s="84"/>
      <c r="AA676" s="84"/>
      <c r="AB676" s="84"/>
      <c r="AC676" s="84"/>
      <c r="AD676" s="84"/>
    </row>
    <row r="677" spans="2:30" x14ac:dyDescent="0.25">
      <c r="B677" s="93"/>
      <c r="C677" s="84"/>
      <c r="D677" s="84"/>
      <c r="E677" s="87"/>
      <c r="F677" s="87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84"/>
      <c r="R677" s="84"/>
      <c r="S677" s="84"/>
      <c r="T677" s="84"/>
      <c r="U677" s="84"/>
      <c r="V677" s="84"/>
      <c r="W677" s="84"/>
      <c r="X677" s="84"/>
      <c r="Y677" s="84"/>
      <c r="Z677" s="84"/>
      <c r="AA677" s="84"/>
      <c r="AB677" s="84"/>
      <c r="AC677" s="84"/>
      <c r="AD677" s="84"/>
    </row>
    <row r="678" spans="2:30" x14ac:dyDescent="0.25">
      <c r="B678" s="93"/>
      <c r="C678" s="84"/>
      <c r="D678" s="84"/>
      <c r="E678" s="87"/>
      <c r="F678" s="87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84"/>
      <c r="R678" s="84"/>
      <c r="S678" s="84"/>
      <c r="T678" s="84"/>
      <c r="U678" s="84"/>
      <c r="V678" s="84"/>
      <c r="W678" s="84"/>
      <c r="X678" s="84"/>
      <c r="Y678" s="84"/>
      <c r="Z678" s="84"/>
      <c r="AA678" s="84"/>
      <c r="AB678" s="84"/>
      <c r="AC678" s="84"/>
      <c r="AD678" s="84"/>
    </row>
    <row r="679" spans="2:30" x14ac:dyDescent="0.25">
      <c r="B679" s="93"/>
      <c r="C679" s="84"/>
      <c r="D679" s="84"/>
      <c r="E679" s="87"/>
      <c r="F679" s="87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84"/>
      <c r="R679" s="84"/>
      <c r="S679" s="84"/>
      <c r="T679" s="84"/>
      <c r="U679" s="84"/>
      <c r="V679" s="84"/>
      <c r="W679" s="84"/>
      <c r="X679" s="84"/>
      <c r="Y679" s="84"/>
      <c r="Z679" s="84"/>
      <c r="AA679" s="84"/>
      <c r="AB679" s="84"/>
      <c r="AC679" s="84"/>
      <c r="AD679" s="84"/>
    </row>
    <row r="680" spans="2:30" x14ac:dyDescent="0.25">
      <c r="B680" s="93"/>
      <c r="C680" s="84"/>
      <c r="D680" s="84"/>
      <c r="E680" s="87"/>
      <c r="F680" s="87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  <c r="S680" s="84"/>
      <c r="T680" s="84"/>
      <c r="U680" s="84"/>
      <c r="V680" s="84"/>
      <c r="W680" s="84"/>
      <c r="X680" s="84"/>
      <c r="Y680" s="84"/>
      <c r="Z680" s="84"/>
      <c r="AA680" s="84"/>
      <c r="AB680" s="84"/>
      <c r="AC680" s="84"/>
      <c r="AD680" s="84"/>
    </row>
    <row r="681" spans="2:30" x14ac:dyDescent="0.25">
      <c r="B681" s="93"/>
      <c r="C681" s="84"/>
      <c r="D681" s="84"/>
      <c r="E681" s="87"/>
      <c r="F681" s="87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84"/>
      <c r="R681" s="84"/>
      <c r="S681" s="84"/>
      <c r="T681" s="84"/>
      <c r="U681" s="84"/>
      <c r="V681" s="84"/>
      <c r="W681" s="84"/>
      <c r="X681" s="84"/>
      <c r="Y681" s="84"/>
      <c r="Z681" s="84"/>
      <c r="AA681" s="84"/>
      <c r="AB681" s="84"/>
      <c r="AC681" s="84"/>
      <c r="AD681" s="84"/>
    </row>
    <row r="682" spans="2:30" x14ac:dyDescent="0.25">
      <c r="B682" s="93"/>
      <c r="C682" s="84"/>
      <c r="D682" s="84"/>
      <c r="E682" s="87"/>
      <c r="F682" s="87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84"/>
      <c r="R682" s="84"/>
      <c r="S682" s="84"/>
      <c r="T682" s="84"/>
      <c r="U682" s="84"/>
      <c r="V682" s="84"/>
      <c r="W682" s="84"/>
      <c r="X682" s="84"/>
      <c r="Y682" s="84"/>
      <c r="Z682" s="84"/>
      <c r="AA682" s="84"/>
      <c r="AB682" s="84"/>
      <c r="AC682" s="84"/>
      <c r="AD682" s="84"/>
    </row>
    <row r="683" spans="2:30" x14ac:dyDescent="0.25">
      <c r="B683" s="93"/>
      <c r="C683" s="84"/>
      <c r="D683" s="84"/>
      <c r="E683" s="87"/>
      <c r="F683" s="87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84"/>
      <c r="R683" s="84"/>
      <c r="S683" s="84"/>
      <c r="T683" s="84"/>
      <c r="U683" s="84"/>
      <c r="V683" s="84"/>
      <c r="W683" s="84"/>
      <c r="X683" s="84"/>
      <c r="Y683" s="84"/>
      <c r="Z683" s="84"/>
      <c r="AA683" s="84"/>
      <c r="AB683" s="84"/>
      <c r="AC683" s="84"/>
      <c r="AD683" s="84"/>
    </row>
    <row r="684" spans="2:30" x14ac:dyDescent="0.25">
      <c r="B684" s="93"/>
      <c r="C684" s="84"/>
      <c r="D684" s="84"/>
      <c r="E684" s="87"/>
      <c r="F684" s="87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84"/>
      <c r="R684" s="84"/>
      <c r="S684" s="84"/>
      <c r="T684" s="84"/>
      <c r="U684" s="84"/>
      <c r="V684" s="84"/>
      <c r="W684" s="84"/>
      <c r="X684" s="84"/>
      <c r="Y684" s="84"/>
      <c r="Z684" s="84"/>
      <c r="AA684" s="84"/>
      <c r="AB684" s="84"/>
      <c r="AC684" s="84"/>
      <c r="AD684" s="84"/>
    </row>
    <row r="685" spans="2:30" x14ac:dyDescent="0.25">
      <c r="B685" s="93"/>
      <c r="C685" s="84"/>
      <c r="D685" s="84"/>
      <c r="E685" s="87"/>
      <c r="F685" s="87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84"/>
      <c r="R685" s="84"/>
      <c r="S685" s="84"/>
      <c r="T685" s="84"/>
      <c r="U685" s="84"/>
      <c r="V685" s="84"/>
      <c r="W685" s="84"/>
      <c r="X685" s="84"/>
      <c r="Y685" s="84"/>
      <c r="Z685" s="84"/>
      <c r="AA685" s="84"/>
      <c r="AB685" s="84"/>
      <c r="AC685" s="84"/>
      <c r="AD685" s="84"/>
    </row>
    <row r="686" spans="2:30" x14ac:dyDescent="0.25">
      <c r="B686" s="93"/>
      <c r="C686" s="84"/>
      <c r="D686" s="84"/>
      <c r="E686" s="87"/>
      <c r="F686" s="87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84"/>
      <c r="R686" s="84"/>
      <c r="S686" s="84"/>
      <c r="T686" s="84"/>
      <c r="U686" s="84"/>
      <c r="V686" s="84"/>
      <c r="W686" s="84"/>
      <c r="X686" s="84"/>
      <c r="Y686" s="84"/>
      <c r="Z686" s="84"/>
      <c r="AA686" s="84"/>
      <c r="AB686" s="84"/>
      <c r="AC686" s="84"/>
      <c r="AD686" s="84"/>
    </row>
    <row r="687" spans="2:30" x14ac:dyDescent="0.25">
      <c r="B687" s="93"/>
      <c r="C687" s="84"/>
      <c r="D687" s="84"/>
      <c r="E687" s="87"/>
      <c r="F687" s="87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84"/>
      <c r="R687" s="84"/>
      <c r="S687" s="84"/>
      <c r="T687" s="84"/>
      <c r="U687" s="84"/>
      <c r="V687" s="84"/>
      <c r="W687" s="84"/>
      <c r="X687" s="84"/>
      <c r="Y687" s="84"/>
      <c r="Z687" s="84"/>
      <c r="AA687" s="84"/>
      <c r="AB687" s="84"/>
      <c r="AC687" s="84"/>
      <c r="AD687" s="84"/>
    </row>
    <row r="688" spans="2:30" x14ac:dyDescent="0.25">
      <c r="B688" s="93"/>
      <c r="C688" s="84"/>
      <c r="D688" s="84"/>
      <c r="E688" s="87"/>
      <c r="F688" s="87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84"/>
      <c r="R688" s="84"/>
      <c r="S688" s="84"/>
      <c r="T688" s="84"/>
      <c r="U688" s="84"/>
      <c r="V688" s="84"/>
      <c r="W688" s="84"/>
      <c r="X688" s="84"/>
      <c r="Y688" s="84"/>
      <c r="Z688" s="84"/>
      <c r="AA688" s="84"/>
      <c r="AB688" s="84"/>
      <c r="AC688" s="84"/>
      <c r="AD688" s="84"/>
    </row>
    <row r="689" spans="2:30" x14ac:dyDescent="0.25">
      <c r="B689" s="93"/>
      <c r="C689" s="84"/>
      <c r="D689" s="84"/>
      <c r="E689" s="87"/>
      <c r="F689" s="87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84"/>
      <c r="R689" s="84"/>
      <c r="S689" s="84"/>
      <c r="T689" s="84"/>
      <c r="U689" s="84"/>
      <c r="V689" s="84"/>
      <c r="W689" s="84"/>
      <c r="X689" s="84"/>
      <c r="Y689" s="84"/>
      <c r="Z689" s="84"/>
      <c r="AA689" s="84"/>
      <c r="AB689" s="84"/>
      <c r="AC689" s="84"/>
      <c r="AD689" s="84"/>
    </row>
    <row r="690" spans="2:30" x14ac:dyDescent="0.25">
      <c r="B690" s="93"/>
      <c r="C690" s="84"/>
      <c r="D690" s="84"/>
      <c r="E690" s="87"/>
      <c r="F690" s="87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84"/>
      <c r="R690" s="84"/>
      <c r="S690" s="84"/>
      <c r="T690" s="84"/>
      <c r="U690" s="84"/>
      <c r="V690" s="84"/>
      <c r="W690" s="84"/>
      <c r="X690" s="84"/>
      <c r="Y690" s="84"/>
      <c r="Z690" s="84"/>
      <c r="AA690" s="84"/>
      <c r="AB690" s="84"/>
      <c r="AC690" s="84"/>
      <c r="AD690" s="84"/>
    </row>
    <row r="691" spans="2:30" x14ac:dyDescent="0.25">
      <c r="B691" s="93"/>
      <c r="C691" s="84"/>
      <c r="D691" s="84"/>
      <c r="E691" s="87"/>
      <c r="F691" s="87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84"/>
      <c r="R691" s="84"/>
      <c r="S691" s="84"/>
      <c r="T691" s="84"/>
      <c r="U691" s="84"/>
      <c r="V691" s="84"/>
      <c r="W691" s="84"/>
      <c r="X691" s="84"/>
      <c r="Y691" s="84"/>
      <c r="Z691" s="84"/>
      <c r="AA691" s="84"/>
      <c r="AB691" s="84"/>
      <c r="AC691" s="84"/>
      <c r="AD691" s="84"/>
    </row>
    <row r="692" spans="2:30" x14ac:dyDescent="0.25">
      <c r="B692" s="93"/>
      <c r="C692" s="84"/>
      <c r="D692" s="84"/>
      <c r="E692" s="87"/>
      <c r="F692" s="87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84"/>
      <c r="R692" s="84"/>
      <c r="S692" s="84"/>
      <c r="T692" s="84"/>
      <c r="U692" s="84"/>
      <c r="V692" s="84"/>
      <c r="W692" s="84"/>
      <c r="X692" s="84"/>
      <c r="Y692" s="84"/>
      <c r="Z692" s="84"/>
      <c r="AA692" s="84"/>
      <c r="AB692" s="84"/>
      <c r="AC692" s="84"/>
      <c r="AD692" s="84"/>
    </row>
    <row r="693" spans="2:30" x14ac:dyDescent="0.25">
      <c r="B693" s="93"/>
      <c r="C693" s="84"/>
      <c r="D693" s="84"/>
      <c r="E693" s="87"/>
      <c r="F693" s="87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84"/>
      <c r="R693" s="84"/>
      <c r="S693" s="84"/>
      <c r="T693" s="84"/>
      <c r="U693" s="84"/>
      <c r="V693" s="84"/>
      <c r="W693" s="84"/>
      <c r="X693" s="84"/>
      <c r="Y693" s="84"/>
      <c r="Z693" s="84"/>
      <c r="AA693" s="84"/>
      <c r="AB693" s="84"/>
      <c r="AC693" s="84"/>
      <c r="AD693" s="84"/>
    </row>
    <row r="694" spans="2:30" x14ac:dyDescent="0.25">
      <c r="B694" s="93"/>
      <c r="C694" s="84"/>
      <c r="D694" s="84"/>
      <c r="E694" s="87"/>
      <c r="F694" s="87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84"/>
      <c r="R694" s="84"/>
      <c r="S694" s="84"/>
      <c r="T694" s="84"/>
      <c r="U694" s="84"/>
      <c r="V694" s="84"/>
      <c r="W694" s="84"/>
      <c r="X694" s="84"/>
      <c r="Y694" s="84"/>
      <c r="Z694" s="84"/>
      <c r="AA694" s="84"/>
      <c r="AB694" s="84"/>
      <c r="AC694" s="84"/>
      <c r="AD694" s="84"/>
    </row>
    <row r="695" spans="2:30" x14ac:dyDescent="0.25">
      <c r="B695" s="93"/>
      <c r="C695" s="84"/>
      <c r="D695" s="84"/>
      <c r="E695" s="87"/>
      <c r="F695" s="87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84"/>
      <c r="R695" s="84"/>
      <c r="S695" s="84"/>
      <c r="T695" s="84"/>
      <c r="U695" s="84"/>
      <c r="V695" s="84"/>
      <c r="W695" s="84"/>
      <c r="X695" s="84"/>
      <c r="Y695" s="84"/>
      <c r="Z695" s="84"/>
      <c r="AA695" s="84"/>
      <c r="AB695" s="84"/>
      <c r="AC695" s="84"/>
      <c r="AD695" s="84"/>
    </row>
    <row r="696" spans="2:30" x14ac:dyDescent="0.25">
      <c r="B696" s="93"/>
      <c r="C696" s="84"/>
      <c r="D696" s="84"/>
      <c r="E696" s="87"/>
      <c r="F696" s="87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84"/>
      <c r="R696" s="84"/>
      <c r="S696" s="84"/>
      <c r="T696" s="84"/>
      <c r="U696" s="84"/>
      <c r="V696" s="84"/>
      <c r="W696" s="84"/>
      <c r="X696" s="84"/>
      <c r="Y696" s="84"/>
      <c r="Z696" s="84"/>
      <c r="AA696" s="84"/>
      <c r="AB696" s="84"/>
      <c r="AC696" s="84"/>
      <c r="AD696" s="84"/>
    </row>
    <row r="697" spans="2:30" x14ac:dyDescent="0.25">
      <c r="B697" s="93"/>
      <c r="C697" s="84"/>
      <c r="D697" s="84"/>
      <c r="E697" s="87"/>
      <c r="F697" s="87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84"/>
      <c r="R697" s="84"/>
      <c r="S697" s="84"/>
      <c r="T697" s="84"/>
      <c r="U697" s="84"/>
      <c r="V697" s="84"/>
      <c r="W697" s="84"/>
      <c r="X697" s="84"/>
      <c r="Y697" s="84"/>
      <c r="Z697" s="84"/>
      <c r="AA697" s="84"/>
      <c r="AB697" s="84"/>
      <c r="AC697" s="84"/>
      <c r="AD697" s="84"/>
    </row>
    <row r="698" spans="2:30" x14ac:dyDescent="0.25">
      <c r="B698" s="93"/>
      <c r="C698" s="84"/>
      <c r="D698" s="84"/>
      <c r="E698" s="87"/>
      <c r="F698" s="87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  <c r="U698" s="84"/>
      <c r="V698" s="84"/>
      <c r="W698" s="84"/>
      <c r="X698" s="84"/>
      <c r="Y698" s="84"/>
      <c r="Z698" s="84"/>
      <c r="AA698" s="84"/>
      <c r="AB698" s="84"/>
      <c r="AC698" s="84"/>
      <c r="AD698" s="84"/>
    </row>
    <row r="699" spans="2:30" x14ac:dyDescent="0.25">
      <c r="B699" s="93"/>
      <c r="C699" s="84"/>
      <c r="D699" s="84"/>
      <c r="E699" s="87"/>
      <c r="F699" s="87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84"/>
      <c r="R699" s="84"/>
      <c r="S699" s="84"/>
      <c r="T699" s="84"/>
      <c r="U699" s="84"/>
      <c r="V699" s="84"/>
      <c r="W699" s="84"/>
      <c r="X699" s="84"/>
      <c r="Y699" s="84"/>
      <c r="Z699" s="84"/>
      <c r="AA699" s="84"/>
      <c r="AB699" s="84"/>
      <c r="AC699" s="84"/>
      <c r="AD699" s="84"/>
    </row>
    <row r="700" spans="2:30" x14ac:dyDescent="0.25">
      <c r="B700" s="93"/>
      <c r="C700" s="84"/>
      <c r="D700" s="84"/>
      <c r="E700" s="87"/>
      <c r="F700" s="87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84"/>
      <c r="R700" s="84"/>
      <c r="S700" s="84"/>
      <c r="T700" s="84"/>
      <c r="U700" s="84"/>
      <c r="V700" s="84"/>
      <c r="W700" s="84"/>
      <c r="X700" s="84"/>
      <c r="Y700" s="84"/>
      <c r="Z700" s="84"/>
      <c r="AA700" s="84"/>
      <c r="AB700" s="84"/>
      <c r="AC700" s="84"/>
      <c r="AD700" s="84"/>
    </row>
    <row r="701" spans="2:30" x14ac:dyDescent="0.25">
      <c r="B701" s="93"/>
      <c r="C701" s="84"/>
      <c r="D701" s="84"/>
      <c r="E701" s="87"/>
      <c r="F701" s="87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84"/>
      <c r="R701" s="84"/>
      <c r="S701" s="84"/>
      <c r="T701" s="84"/>
      <c r="U701" s="84"/>
      <c r="V701" s="84"/>
      <c r="W701" s="84"/>
      <c r="X701" s="84"/>
      <c r="Y701" s="84"/>
      <c r="Z701" s="84"/>
      <c r="AA701" s="84"/>
      <c r="AB701" s="84"/>
      <c r="AC701" s="84"/>
      <c r="AD701" s="84"/>
    </row>
    <row r="702" spans="2:30" x14ac:dyDescent="0.25">
      <c r="B702" s="93"/>
      <c r="C702" s="84"/>
      <c r="D702" s="84"/>
      <c r="E702" s="87"/>
      <c r="F702" s="87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84"/>
      <c r="R702" s="84"/>
      <c r="S702" s="84"/>
      <c r="T702" s="84"/>
      <c r="U702" s="84"/>
      <c r="V702" s="84"/>
      <c r="W702" s="84"/>
      <c r="X702" s="84"/>
      <c r="Y702" s="84"/>
      <c r="Z702" s="84"/>
      <c r="AA702" s="84"/>
      <c r="AB702" s="84"/>
      <c r="AC702" s="84"/>
      <c r="AD702" s="84"/>
    </row>
    <row r="703" spans="2:30" x14ac:dyDescent="0.25">
      <c r="B703" s="93"/>
      <c r="C703" s="84"/>
      <c r="D703" s="84"/>
      <c r="E703" s="87"/>
      <c r="F703" s="87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84"/>
      <c r="R703" s="84"/>
      <c r="S703" s="84"/>
      <c r="T703" s="84"/>
      <c r="U703" s="84"/>
      <c r="V703" s="84"/>
      <c r="W703" s="84"/>
      <c r="X703" s="84"/>
      <c r="Y703" s="84"/>
      <c r="Z703" s="84"/>
      <c r="AA703" s="84"/>
      <c r="AB703" s="84"/>
      <c r="AC703" s="84"/>
      <c r="AD703" s="84"/>
    </row>
    <row r="704" spans="2:30" x14ac:dyDescent="0.25">
      <c r="B704" s="93"/>
      <c r="C704" s="84"/>
      <c r="D704" s="84"/>
      <c r="E704" s="87"/>
      <c r="F704" s="87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84"/>
      <c r="R704" s="84"/>
      <c r="S704" s="84"/>
      <c r="T704" s="84"/>
      <c r="U704" s="84"/>
      <c r="V704" s="84"/>
      <c r="W704" s="84"/>
      <c r="X704" s="84"/>
      <c r="Y704" s="84"/>
      <c r="Z704" s="84"/>
      <c r="AA704" s="84"/>
      <c r="AB704" s="84"/>
      <c r="AC704" s="84"/>
      <c r="AD704" s="84"/>
    </row>
    <row r="705" spans="2:30" x14ac:dyDescent="0.25">
      <c r="B705" s="93"/>
      <c r="C705" s="84"/>
      <c r="D705" s="84"/>
      <c r="E705" s="87"/>
      <c r="F705" s="87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84"/>
      <c r="R705" s="84"/>
      <c r="S705" s="84"/>
      <c r="T705" s="84"/>
      <c r="U705" s="84"/>
      <c r="V705" s="84"/>
      <c r="W705" s="84"/>
      <c r="X705" s="84"/>
      <c r="Y705" s="84"/>
      <c r="Z705" s="84"/>
      <c r="AA705" s="84"/>
      <c r="AB705" s="84"/>
      <c r="AC705" s="84"/>
      <c r="AD705" s="84"/>
    </row>
    <row r="706" spans="2:30" x14ac:dyDescent="0.25">
      <c r="B706" s="93"/>
      <c r="C706" s="84"/>
      <c r="D706" s="84"/>
      <c r="E706" s="87"/>
      <c r="F706" s="87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84"/>
      <c r="R706" s="84"/>
      <c r="S706" s="84"/>
      <c r="T706" s="84"/>
      <c r="U706" s="84"/>
      <c r="V706" s="84"/>
      <c r="W706" s="84"/>
      <c r="X706" s="84"/>
      <c r="Y706" s="84"/>
      <c r="Z706" s="84"/>
      <c r="AA706" s="84"/>
      <c r="AB706" s="84"/>
      <c r="AC706" s="84"/>
      <c r="AD706" s="84"/>
    </row>
    <row r="707" spans="2:30" x14ac:dyDescent="0.25">
      <c r="B707" s="93"/>
      <c r="C707" s="84"/>
      <c r="D707" s="84"/>
      <c r="E707" s="87"/>
      <c r="F707" s="87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84"/>
      <c r="R707" s="84"/>
      <c r="S707" s="84"/>
      <c r="T707" s="84"/>
      <c r="U707" s="84"/>
      <c r="V707" s="84"/>
      <c r="W707" s="84"/>
      <c r="X707" s="84"/>
      <c r="Y707" s="84"/>
      <c r="Z707" s="84"/>
      <c r="AA707" s="84"/>
      <c r="AB707" s="84"/>
      <c r="AC707" s="84"/>
      <c r="AD707" s="84"/>
    </row>
    <row r="708" spans="2:30" x14ac:dyDescent="0.25">
      <c r="B708" s="93"/>
      <c r="C708" s="84"/>
      <c r="D708" s="84"/>
      <c r="E708" s="87"/>
      <c r="F708" s="87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84"/>
      <c r="R708" s="84"/>
      <c r="S708" s="84"/>
      <c r="T708" s="84"/>
      <c r="U708" s="84"/>
      <c r="V708" s="84"/>
      <c r="W708" s="84"/>
      <c r="X708" s="84"/>
      <c r="Y708" s="84"/>
      <c r="Z708" s="84"/>
      <c r="AA708" s="84"/>
      <c r="AB708" s="84"/>
      <c r="AC708" s="84"/>
      <c r="AD708" s="84"/>
    </row>
    <row r="709" spans="2:30" x14ac:dyDescent="0.25">
      <c r="B709" s="93"/>
      <c r="C709" s="84"/>
      <c r="D709" s="84"/>
      <c r="E709" s="87"/>
      <c r="F709" s="87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84"/>
      <c r="R709" s="84"/>
      <c r="S709" s="84"/>
      <c r="T709" s="84"/>
      <c r="U709" s="84"/>
      <c r="V709" s="84"/>
      <c r="W709" s="84"/>
      <c r="X709" s="84"/>
      <c r="Y709" s="84"/>
      <c r="Z709" s="84"/>
      <c r="AA709" s="84"/>
      <c r="AB709" s="84"/>
      <c r="AC709" s="84"/>
      <c r="AD709" s="84"/>
    </row>
    <row r="710" spans="2:30" x14ac:dyDescent="0.25">
      <c r="B710" s="93"/>
      <c r="C710" s="84"/>
      <c r="D710" s="84"/>
      <c r="E710" s="87"/>
      <c r="F710" s="87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84"/>
      <c r="R710" s="84"/>
      <c r="S710" s="84"/>
      <c r="T710" s="84"/>
      <c r="U710" s="84"/>
      <c r="V710" s="84"/>
      <c r="W710" s="84"/>
      <c r="X710" s="84"/>
      <c r="Y710" s="84"/>
      <c r="Z710" s="84"/>
      <c r="AA710" s="84"/>
      <c r="AB710" s="84"/>
      <c r="AC710" s="84"/>
      <c r="AD710" s="84"/>
    </row>
    <row r="711" spans="2:30" x14ac:dyDescent="0.25">
      <c r="B711" s="93"/>
      <c r="C711" s="84"/>
      <c r="D711" s="84"/>
      <c r="E711" s="87"/>
      <c r="F711" s="87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84"/>
      <c r="R711" s="84"/>
      <c r="S711" s="84"/>
      <c r="T711" s="84"/>
      <c r="U711" s="84"/>
      <c r="V711" s="84"/>
      <c r="W711" s="84"/>
      <c r="X711" s="84"/>
      <c r="Y711" s="84"/>
      <c r="Z711" s="84"/>
      <c r="AA711" s="84"/>
      <c r="AB711" s="84"/>
      <c r="AC711" s="84"/>
      <c r="AD711" s="84"/>
    </row>
    <row r="712" spans="2:30" x14ac:dyDescent="0.25">
      <c r="B712" s="93"/>
      <c r="C712" s="84"/>
      <c r="D712" s="84"/>
      <c r="E712" s="87"/>
      <c r="F712" s="87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84"/>
      <c r="R712" s="84"/>
      <c r="S712" s="84"/>
      <c r="T712" s="84"/>
      <c r="U712" s="84"/>
      <c r="V712" s="84"/>
      <c r="W712" s="84"/>
      <c r="X712" s="84"/>
      <c r="Y712" s="84"/>
      <c r="Z712" s="84"/>
      <c r="AA712" s="84"/>
      <c r="AB712" s="84"/>
      <c r="AC712" s="84"/>
      <c r="AD712" s="84"/>
    </row>
    <row r="713" spans="2:30" x14ac:dyDescent="0.25">
      <c r="B713" s="93"/>
      <c r="C713" s="84"/>
      <c r="D713" s="84"/>
      <c r="E713" s="87"/>
      <c r="F713" s="87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84"/>
      <c r="R713" s="84"/>
      <c r="S713" s="84"/>
      <c r="T713" s="84"/>
      <c r="U713" s="84"/>
      <c r="V713" s="84"/>
      <c r="W713" s="84"/>
      <c r="X713" s="84"/>
      <c r="Y713" s="84"/>
      <c r="Z713" s="84"/>
      <c r="AA713" s="84"/>
      <c r="AB713" s="84"/>
      <c r="AC713" s="84"/>
      <c r="AD713" s="84"/>
    </row>
    <row r="714" spans="2:30" x14ac:dyDescent="0.25">
      <c r="B714" s="93"/>
      <c r="C714" s="84"/>
      <c r="D714" s="84"/>
      <c r="E714" s="87"/>
      <c r="F714" s="87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84"/>
      <c r="R714" s="84"/>
      <c r="S714" s="84"/>
      <c r="T714" s="84"/>
      <c r="U714" s="84"/>
      <c r="V714" s="84"/>
      <c r="W714" s="84"/>
      <c r="X714" s="84"/>
      <c r="Y714" s="84"/>
      <c r="Z714" s="84"/>
      <c r="AA714" s="84"/>
      <c r="AB714" s="84"/>
      <c r="AC714" s="84"/>
      <c r="AD714" s="84"/>
    </row>
    <row r="715" spans="2:30" x14ac:dyDescent="0.25">
      <c r="B715" s="93"/>
      <c r="C715" s="84"/>
      <c r="D715" s="84"/>
      <c r="E715" s="87"/>
      <c r="F715" s="87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84"/>
      <c r="R715" s="84"/>
      <c r="S715" s="84"/>
      <c r="T715" s="84"/>
      <c r="U715" s="84"/>
      <c r="V715" s="84"/>
      <c r="W715" s="84"/>
      <c r="X715" s="84"/>
      <c r="Y715" s="84"/>
      <c r="Z715" s="84"/>
      <c r="AA715" s="84"/>
      <c r="AB715" s="84"/>
      <c r="AC715" s="84"/>
      <c r="AD715" s="84"/>
    </row>
    <row r="716" spans="2:30" x14ac:dyDescent="0.25">
      <c r="B716" s="93"/>
      <c r="C716" s="84"/>
      <c r="D716" s="84"/>
      <c r="E716" s="87"/>
      <c r="F716" s="87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84"/>
      <c r="R716" s="84"/>
      <c r="S716" s="84"/>
      <c r="T716" s="84"/>
      <c r="U716" s="84"/>
      <c r="V716" s="84"/>
      <c r="W716" s="84"/>
      <c r="X716" s="84"/>
      <c r="Y716" s="84"/>
      <c r="Z716" s="84"/>
      <c r="AA716" s="84"/>
      <c r="AB716" s="84"/>
      <c r="AC716" s="84"/>
      <c r="AD716" s="84"/>
    </row>
    <row r="717" spans="2:30" x14ac:dyDescent="0.25">
      <c r="B717" s="93"/>
      <c r="C717" s="84"/>
      <c r="D717" s="84"/>
      <c r="E717" s="87"/>
      <c r="F717" s="87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84"/>
      <c r="R717" s="84"/>
      <c r="S717" s="84"/>
      <c r="T717" s="84"/>
      <c r="U717" s="84"/>
      <c r="V717" s="84"/>
      <c r="W717" s="84"/>
      <c r="X717" s="84"/>
      <c r="Y717" s="84"/>
      <c r="Z717" s="84"/>
      <c r="AA717" s="84"/>
      <c r="AB717" s="84"/>
      <c r="AC717" s="84"/>
      <c r="AD717" s="84"/>
    </row>
    <row r="718" spans="2:30" x14ac:dyDescent="0.25">
      <c r="B718" s="93"/>
      <c r="C718" s="84"/>
      <c r="D718" s="84"/>
      <c r="E718" s="87"/>
      <c r="F718" s="87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84"/>
      <c r="R718" s="84"/>
      <c r="S718" s="84"/>
      <c r="T718" s="84"/>
      <c r="U718" s="84"/>
      <c r="V718" s="84"/>
      <c r="W718" s="84"/>
      <c r="X718" s="84"/>
      <c r="Y718" s="84"/>
      <c r="Z718" s="84"/>
      <c r="AA718" s="84"/>
      <c r="AB718" s="84"/>
      <c r="AC718" s="84"/>
      <c r="AD718" s="84"/>
    </row>
    <row r="719" spans="2:30" x14ac:dyDescent="0.25">
      <c r="B719" s="93"/>
      <c r="C719" s="84"/>
      <c r="D719" s="84"/>
      <c r="E719" s="87"/>
      <c r="F719" s="87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84"/>
      <c r="R719" s="84"/>
      <c r="S719" s="84"/>
      <c r="T719" s="84"/>
      <c r="U719" s="84"/>
      <c r="V719" s="84"/>
      <c r="W719" s="84"/>
      <c r="X719" s="84"/>
      <c r="Y719" s="84"/>
      <c r="Z719" s="84"/>
      <c r="AA719" s="84"/>
      <c r="AB719" s="84"/>
      <c r="AC719" s="84"/>
      <c r="AD719" s="84"/>
    </row>
    <row r="720" spans="2:30" x14ac:dyDescent="0.25">
      <c r="B720" s="93"/>
      <c r="C720" s="84"/>
      <c r="D720" s="84"/>
      <c r="E720" s="87"/>
      <c r="F720" s="87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84"/>
      <c r="R720" s="84"/>
      <c r="S720" s="84"/>
      <c r="T720" s="84"/>
      <c r="U720" s="84"/>
      <c r="V720" s="84"/>
      <c r="W720" s="84"/>
      <c r="X720" s="84"/>
      <c r="Y720" s="84"/>
      <c r="Z720" s="84"/>
      <c r="AA720" s="84"/>
      <c r="AB720" s="84"/>
      <c r="AC720" s="84"/>
      <c r="AD720" s="84"/>
    </row>
    <row r="721" spans="2:30" x14ac:dyDescent="0.25">
      <c r="B721" s="93"/>
      <c r="C721" s="84"/>
      <c r="D721" s="84"/>
      <c r="E721" s="87"/>
      <c r="F721" s="87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84"/>
      <c r="R721" s="84"/>
      <c r="S721" s="84"/>
      <c r="T721" s="84"/>
      <c r="U721" s="84"/>
      <c r="V721" s="84"/>
      <c r="W721" s="84"/>
      <c r="X721" s="84"/>
      <c r="Y721" s="84"/>
      <c r="Z721" s="84"/>
      <c r="AA721" s="84"/>
      <c r="AB721" s="84"/>
      <c r="AC721" s="84"/>
      <c r="AD721" s="84"/>
    </row>
    <row r="722" spans="2:30" x14ac:dyDescent="0.25">
      <c r="B722" s="93"/>
      <c r="C722" s="84"/>
      <c r="D722" s="84"/>
      <c r="E722" s="87"/>
      <c r="F722" s="87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84"/>
      <c r="R722" s="84"/>
      <c r="S722" s="84"/>
      <c r="T722" s="84"/>
      <c r="U722" s="84"/>
      <c r="V722" s="84"/>
      <c r="W722" s="84"/>
      <c r="X722" s="84"/>
      <c r="Y722" s="84"/>
      <c r="Z722" s="84"/>
      <c r="AA722" s="84"/>
      <c r="AB722" s="84"/>
      <c r="AC722" s="84"/>
      <c r="AD722" s="84"/>
    </row>
    <row r="723" spans="2:30" x14ac:dyDescent="0.25">
      <c r="B723" s="93"/>
      <c r="C723" s="84"/>
      <c r="D723" s="84"/>
      <c r="E723" s="87"/>
      <c r="F723" s="87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84"/>
      <c r="R723" s="84"/>
      <c r="S723" s="84"/>
      <c r="T723" s="84"/>
      <c r="U723" s="84"/>
      <c r="V723" s="84"/>
      <c r="W723" s="84"/>
      <c r="X723" s="84"/>
      <c r="Y723" s="84"/>
      <c r="Z723" s="84"/>
      <c r="AA723" s="84"/>
      <c r="AB723" s="84"/>
      <c r="AC723" s="84"/>
      <c r="AD723" s="84"/>
    </row>
    <row r="724" spans="2:30" x14ac:dyDescent="0.25">
      <c r="B724" s="93"/>
      <c r="C724" s="84"/>
      <c r="D724" s="84"/>
      <c r="E724" s="87"/>
      <c r="F724" s="87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84"/>
      <c r="R724" s="84"/>
      <c r="S724" s="84"/>
      <c r="T724" s="84"/>
      <c r="U724" s="84"/>
      <c r="V724" s="84"/>
      <c r="W724" s="84"/>
      <c r="X724" s="84"/>
      <c r="Y724" s="84"/>
      <c r="Z724" s="84"/>
      <c r="AA724" s="84"/>
      <c r="AB724" s="84"/>
      <c r="AC724" s="84"/>
      <c r="AD724" s="84"/>
    </row>
    <row r="725" spans="2:30" x14ac:dyDescent="0.25">
      <c r="B725" s="93"/>
      <c r="C725" s="84"/>
      <c r="D725" s="84"/>
      <c r="E725" s="87"/>
      <c r="F725" s="87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84"/>
      <c r="T725" s="84"/>
      <c r="U725" s="84"/>
      <c r="V725" s="84"/>
      <c r="W725" s="84"/>
      <c r="X725" s="84"/>
      <c r="Y725" s="84"/>
      <c r="Z725" s="84"/>
      <c r="AA725" s="84"/>
      <c r="AB725" s="84"/>
      <c r="AC725" s="84"/>
      <c r="AD725" s="84"/>
    </row>
    <row r="726" spans="2:30" x14ac:dyDescent="0.25">
      <c r="B726" s="93"/>
      <c r="C726" s="84"/>
      <c r="D726" s="84"/>
      <c r="E726" s="87"/>
      <c r="F726" s="87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84"/>
      <c r="R726" s="84"/>
      <c r="S726" s="84"/>
      <c r="T726" s="84"/>
      <c r="U726" s="84"/>
      <c r="V726" s="84"/>
      <c r="W726" s="84"/>
      <c r="X726" s="84"/>
      <c r="Y726" s="84"/>
      <c r="Z726" s="84"/>
      <c r="AA726" s="84"/>
      <c r="AB726" s="84"/>
      <c r="AC726" s="84"/>
      <c r="AD726" s="84"/>
    </row>
    <row r="727" spans="2:30" x14ac:dyDescent="0.25">
      <c r="B727" s="93"/>
      <c r="C727" s="84"/>
      <c r="D727" s="84"/>
      <c r="E727" s="87"/>
      <c r="F727" s="87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84"/>
      <c r="R727" s="84"/>
      <c r="S727" s="84"/>
      <c r="T727" s="84"/>
      <c r="U727" s="84"/>
      <c r="V727" s="84"/>
      <c r="W727" s="84"/>
      <c r="X727" s="84"/>
      <c r="Y727" s="84"/>
      <c r="Z727" s="84"/>
      <c r="AA727" s="84"/>
      <c r="AB727" s="84"/>
      <c r="AC727" s="84"/>
      <c r="AD727" s="84"/>
    </row>
    <row r="728" spans="2:30" x14ac:dyDescent="0.25">
      <c r="B728" s="93"/>
      <c r="C728" s="84"/>
      <c r="D728" s="84"/>
      <c r="E728" s="87"/>
      <c r="F728" s="87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84"/>
      <c r="R728" s="84"/>
      <c r="S728" s="84"/>
      <c r="T728" s="84"/>
      <c r="U728" s="84"/>
      <c r="V728" s="84"/>
      <c r="W728" s="84"/>
      <c r="X728" s="84"/>
      <c r="Y728" s="84"/>
      <c r="Z728" s="84"/>
      <c r="AA728" s="84"/>
      <c r="AB728" s="84"/>
      <c r="AC728" s="84"/>
      <c r="AD728" s="84"/>
    </row>
    <row r="729" spans="2:30" x14ac:dyDescent="0.25">
      <c r="B729" s="93"/>
      <c r="C729" s="84"/>
      <c r="D729" s="84"/>
      <c r="E729" s="87"/>
      <c r="F729" s="87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84"/>
      <c r="R729" s="84"/>
      <c r="S729" s="84"/>
      <c r="T729" s="84"/>
      <c r="U729" s="84"/>
      <c r="V729" s="84"/>
      <c r="W729" s="84"/>
      <c r="X729" s="84"/>
      <c r="Y729" s="84"/>
      <c r="Z729" s="84"/>
      <c r="AA729" s="84"/>
      <c r="AB729" s="84"/>
      <c r="AC729" s="84"/>
      <c r="AD729" s="84"/>
    </row>
    <row r="730" spans="2:30" x14ac:dyDescent="0.25">
      <c r="B730" s="93"/>
      <c r="C730" s="84"/>
      <c r="D730" s="84"/>
      <c r="E730" s="87"/>
      <c r="F730" s="87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84"/>
      <c r="R730" s="84"/>
      <c r="S730" s="84"/>
      <c r="T730" s="84"/>
      <c r="U730" s="84"/>
      <c r="V730" s="84"/>
      <c r="W730" s="84"/>
      <c r="X730" s="84"/>
      <c r="Y730" s="84"/>
      <c r="Z730" s="84"/>
      <c r="AA730" s="84"/>
      <c r="AB730" s="84"/>
      <c r="AC730" s="84"/>
      <c r="AD730" s="84"/>
    </row>
    <row r="731" spans="2:30" x14ac:dyDescent="0.25">
      <c r="B731" s="93"/>
      <c r="C731" s="84"/>
      <c r="D731" s="84"/>
      <c r="E731" s="87"/>
      <c r="F731" s="87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84"/>
      <c r="R731" s="84"/>
      <c r="S731" s="84"/>
      <c r="T731" s="84"/>
      <c r="U731" s="84"/>
      <c r="V731" s="84"/>
      <c r="W731" s="84"/>
      <c r="X731" s="84"/>
      <c r="Y731" s="84"/>
      <c r="Z731" s="84"/>
      <c r="AA731" s="84"/>
      <c r="AB731" s="84"/>
      <c r="AC731" s="84"/>
      <c r="AD731" s="84"/>
    </row>
    <row r="732" spans="2:30" x14ac:dyDescent="0.25">
      <c r="B732" s="93"/>
      <c r="C732" s="84"/>
      <c r="D732" s="84"/>
      <c r="E732" s="87"/>
      <c r="F732" s="87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84"/>
      <c r="R732" s="84"/>
      <c r="S732" s="84"/>
      <c r="T732" s="84"/>
      <c r="U732" s="84"/>
      <c r="V732" s="84"/>
      <c r="W732" s="84"/>
      <c r="X732" s="84"/>
      <c r="Y732" s="84"/>
      <c r="Z732" s="84"/>
      <c r="AA732" s="84"/>
      <c r="AB732" s="84"/>
      <c r="AC732" s="84"/>
      <c r="AD732" s="84"/>
    </row>
    <row r="733" spans="2:30" x14ac:dyDescent="0.25">
      <c r="B733" s="93"/>
      <c r="C733" s="84"/>
      <c r="D733" s="84"/>
      <c r="E733" s="87"/>
      <c r="F733" s="87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84"/>
      <c r="R733" s="84"/>
      <c r="S733" s="84"/>
      <c r="T733" s="84"/>
      <c r="U733" s="84"/>
      <c r="V733" s="84"/>
      <c r="W733" s="84"/>
      <c r="X733" s="84"/>
      <c r="Y733" s="84"/>
      <c r="Z733" s="84"/>
      <c r="AA733" s="84"/>
      <c r="AB733" s="84"/>
      <c r="AC733" s="84"/>
      <c r="AD733" s="84"/>
    </row>
    <row r="734" spans="2:30" x14ac:dyDescent="0.25">
      <c r="B734" s="93"/>
      <c r="C734" s="84"/>
      <c r="D734" s="84"/>
      <c r="E734" s="87"/>
      <c r="F734" s="87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84"/>
      <c r="R734" s="84"/>
      <c r="S734" s="84"/>
      <c r="T734" s="84"/>
      <c r="U734" s="84"/>
      <c r="V734" s="84"/>
      <c r="W734" s="84"/>
      <c r="X734" s="84"/>
      <c r="Y734" s="84"/>
      <c r="Z734" s="84"/>
      <c r="AA734" s="84"/>
      <c r="AB734" s="84"/>
      <c r="AC734" s="84"/>
      <c r="AD734" s="84"/>
    </row>
    <row r="735" spans="2:30" x14ac:dyDescent="0.25">
      <c r="B735" s="93"/>
      <c r="C735" s="84"/>
      <c r="D735" s="84"/>
      <c r="E735" s="87"/>
      <c r="F735" s="87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A735" s="84"/>
      <c r="AB735" s="84"/>
      <c r="AC735" s="84"/>
      <c r="AD735" s="84"/>
    </row>
    <row r="736" spans="2:30" x14ac:dyDescent="0.25">
      <c r="B736" s="93"/>
      <c r="C736" s="84"/>
      <c r="D736" s="84"/>
      <c r="E736" s="87"/>
      <c r="F736" s="87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84"/>
      <c r="R736" s="84"/>
      <c r="S736" s="84"/>
      <c r="T736" s="84"/>
      <c r="U736" s="84"/>
      <c r="V736" s="84"/>
      <c r="W736" s="84"/>
      <c r="X736" s="84"/>
      <c r="Y736" s="84"/>
      <c r="Z736" s="84"/>
      <c r="AA736" s="84"/>
      <c r="AB736" s="84"/>
      <c r="AC736" s="84"/>
      <c r="AD736" s="84"/>
    </row>
    <row r="737" spans="2:30" x14ac:dyDescent="0.25">
      <c r="B737" s="93"/>
      <c r="C737" s="84"/>
      <c r="D737" s="84"/>
      <c r="E737" s="87"/>
      <c r="F737" s="87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84"/>
      <c r="R737" s="84"/>
      <c r="S737" s="84"/>
      <c r="T737" s="84"/>
      <c r="U737" s="84"/>
      <c r="V737" s="84"/>
      <c r="W737" s="84"/>
      <c r="X737" s="84"/>
      <c r="Y737" s="84"/>
      <c r="Z737" s="84"/>
      <c r="AA737" s="84"/>
      <c r="AB737" s="84"/>
      <c r="AC737" s="84"/>
      <c r="AD737" s="84"/>
    </row>
    <row r="738" spans="2:30" x14ac:dyDescent="0.25">
      <c r="B738" s="93"/>
      <c r="C738" s="84"/>
      <c r="D738" s="84"/>
      <c r="E738" s="87"/>
      <c r="F738" s="87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84"/>
      <c r="R738" s="84"/>
      <c r="S738" s="84"/>
      <c r="T738" s="84"/>
      <c r="U738" s="84"/>
      <c r="V738" s="84"/>
      <c r="W738" s="84"/>
      <c r="X738" s="84"/>
      <c r="Y738" s="84"/>
      <c r="Z738" s="84"/>
      <c r="AA738" s="84"/>
      <c r="AB738" s="84"/>
      <c r="AC738" s="84"/>
      <c r="AD738" s="84"/>
    </row>
    <row r="739" spans="2:30" x14ac:dyDescent="0.25">
      <c r="B739" s="93"/>
      <c r="C739" s="84"/>
      <c r="D739" s="84"/>
      <c r="E739" s="87"/>
      <c r="F739" s="87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84"/>
      <c r="R739" s="84"/>
      <c r="S739" s="84"/>
      <c r="T739" s="84"/>
      <c r="U739" s="84"/>
      <c r="V739" s="84"/>
      <c r="W739" s="84"/>
      <c r="X739" s="84"/>
      <c r="Y739" s="84"/>
      <c r="Z739" s="84"/>
      <c r="AA739" s="84"/>
      <c r="AB739" s="84"/>
      <c r="AC739" s="84"/>
      <c r="AD739" s="84"/>
    </row>
    <row r="740" spans="2:30" x14ac:dyDescent="0.25">
      <c r="B740" s="93"/>
      <c r="C740" s="84"/>
      <c r="D740" s="84"/>
      <c r="E740" s="87"/>
      <c r="F740" s="87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84"/>
      <c r="R740" s="84"/>
      <c r="S740" s="84"/>
      <c r="T740" s="84"/>
      <c r="U740" s="84"/>
      <c r="V740" s="84"/>
      <c r="W740" s="84"/>
      <c r="X740" s="84"/>
      <c r="Y740" s="84"/>
      <c r="Z740" s="84"/>
      <c r="AA740" s="84"/>
      <c r="AB740" s="84"/>
      <c r="AC740" s="84"/>
      <c r="AD740" s="84"/>
    </row>
    <row r="741" spans="2:30" x14ac:dyDescent="0.25">
      <c r="B741" s="93"/>
      <c r="C741" s="84"/>
      <c r="D741" s="84"/>
      <c r="E741" s="87"/>
      <c r="F741" s="87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84"/>
      <c r="R741" s="84"/>
      <c r="S741" s="84"/>
      <c r="T741" s="84"/>
      <c r="U741" s="84"/>
      <c r="V741" s="84"/>
      <c r="W741" s="84"/>
      <c r="X741" s="84"/>
      <c r="Y741" s="84"/>
      <c r="Z741" s="84"/>
      <c r="AA741" s="84"/>
      <c r="AB741" s="84"/>
      <c r="AC741" s="84"/>
      <c r="AD741" s="84"/>
    </row>
    <row r="742" spans="2:30" x14ac:dyDescent="0.25">
      <c r="B742" s="93"/>
      <c r="C742" s="84"/>
      <c r="D742" s="84"/>
      <c r="E742" s="87"/>
      <c r="F742" s="87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84"/>
      <c r="R742" s="84"/>
      <c r="S742" s="84"/>
      <c r="T742" s="84"/>
      <c r="U742" s="84"/>
      <c r="V742" s="84"/>
      <c r="W742" s="84"/>
      <c r="X742" s="84"/>
      <c r="Y742" s="84"/>
      <c r="Z742" s="84"/>
      <c r="AA742" s="84"/>
      <c r="AB742" s="84"/>
      <c r="AC742" s="84"/>
      <c r="AD742" s="84"/>
    </row>
    <row r="743" spans="2:30" x14ac:dyDescent="0.25">
      <c r="B743" s="93"/>
      <c r="C743" s="84"/>
      <c r="D743" s="84"/>
      <c r="E743" s="87"/>
      <c r="F743" s="87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84"/>
      <c r="R743" s="84"/>
      <c r="S743" s="84"/>
      <c r="T743" s="84"/>
      <c r="U743" s="84"/>
      <c r="V743" s="84"/>
      <c r="W743" s="84"/>
      <c r="X743" s="84"/>
      <c r="Y743" s="84"/>
      <c r="Z743" s="84"/>
      <c r="AA743" s="84"/>
      <c r="AB743" s="84"/>
      <c r="AC743" s="84"/>
      <c r="AD743" s="84"/>
    </row>
    <row r="744" spans="2:30" x14ac:dyDescent="0.25">
      <c r="B744" s="93"/>
      <c r="C744" s="84"/>
      <c r="D744" s="84"/>
      <c r="E744" s="87"/>
      <c r="F744" s="87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4"/>
      <c r="R744" s="84"/>
      <c r="S744" s="84"/>
      <c r="T744" s="84"/>
      <c r="U744" s="84"/>
      <c r="V744" s="84"/>
      <c r="W744" s="84"/>
      <c r="X744" s="84"/>
      <c r="Y744" s="84"/>
      <c r="Z744" s="84"/>
      <c r="AA744" s="84"/>
      <c r="AB744" s="84"/>
      <c r="AC744" s="84"/>
      <c r="AD744" s="84"/>
    </row>
    <row r="745" spans="2:30" x14ac:dyDescent="0.25">
      <c r="B745" s="93"/>
      <c r="C745" s="84"/>
      <c r="D745" s="84"/>
      <c r="E745" s="87"/>
      <c r="F745" s="87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84"/>
      <c r="R745" s="84"/>
      <c r="S745" s="84"/>
      <c r="T745" s="84"/>
      <c r="U745" s="84"/>
      <c r="V745" s="84"/>
      <c r="W745" s="84"/>
      <c r="X745" s="84"/>
      <c r="Y745" s="84"/>
      <c r="Z745" s="84"/>
      <c r="AA745" s="84"/>
      <c r="AB745" s="84"/>
      <c r="AC745" s="84"/>
      <c r="AD745" s="84"/>
    </row>
    <row r="746" spans="2:30" x14ac:dyDescent="0.25">
      <c r="B746" s="93"/>
      <c r="C746" s="84"/>
      <c r="D746" s="84"/>
      <c r="E746" s="87"/>
      <c r="F746" s="87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84"/>
      <c r="R746" s="84"/>
      <c r="S746" s="84"/>
      <c r="T746" s="84"/>
      <c r="U746" s="84"/>
      <c r="V746" s="84"/>
      <c r="W746" s="84"/>
      <c r="X746" s="84"/>
      <c r="Y746" s="84"/>
      <c r="Z746" s="84"/>
      <c r="AA746" s="84"/>
      <c r="AB746" s="84"/>
      <c r="AC746" s="84"/>
      <c r="AD746" s="84"/>
    </row>
    <row r="747" spans="2:30" x14ac:dyDescent="0.25">
      <c r="B747" s="93"/>
      <c r="C747" s="84"/>
      <c r="D747" s="84"/>
      <c r="E747" s="87"/>
      <c r="F747" s="87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84"/>
      <c r="R747" s="84"/>
      <c r="S747" s="84"/>
      <c r="T747" s="84"/>
      <c r="U747" s="84"/>
      <c r="V747" s="84"/>
      <c r="W747" s="84"/>
      <c r="X747" s="84"/>
      <c r="Y747" s="84"/>
      <c r="Z747" s="84"/>
      <c r="AA747" s="84"/>
      <c r="AB747" s="84"/>
      <c r="AC747" s="84"/>
      <c r="AD747" s="84"/>
    </row>
    <row r="748" spans="2:30" x14ac:dyDescent="0.25">
      <c r="B748" s="93"/>
      <c r="C748" s="84"/>
      <c r="D748" s="84"/>
      <c r="E748" s="87"/>
      <c r="F748" s="87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84"/>
      <c r="R748" s="84"/>
      <c r="S748" s="84"/>
      <c r="T748" s="84"/>
      <c r="U748" s="84"/>
      <c r="V748" s="84"/>
      <c r="W748" s="84"/>
      <c r="X748" s="84"/>
      <c r="Y748" s="84"/>
      <c r="Z748" s="84"/>
      <c r="AA748" s="84"/>
      <c r="AB748" s="84"/>
      <c r="AC748" s="84"/>
      <c r="AD748" s="84"/>
    </row>
    <row r="749" spans="2:30" x14ac:dyDescent="0.25">
      <c r="B749" s="93"/>
      <c r="C749" s="84"/>
      <c r="D749" s="84"/>
      <c r="E749" s="87"/>
      <c r="F749" s="87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84"/>
      <c r="R749" s="84"/>
      <c r="S749" s="84"/>
      <c r="T749" s="84"/>
      <c r="U749" s="84"/>
      <c r="V749" s="84"/>
      <c r="W749" s="84"/>
      <c r="X749" s="84"/>
      <c r="Y749" s="84"/>
      <c r="Z749" s="84"/>
      <c r="AA749" s="84"/>
      <c r="AB749" s="84"/>
      <c r="AC749" s="84"/>
      <c r="AD749" s="84"/>
    </row>
    <row r="750" spans="2:30" x14ac:dyDescent="0.25">
      <c r="B750" s="93"/>
      <c r="C750" s="84"/>
      <c r="D750" s="84"/>
      <c r="E750" s="87"/>
      <c r="F750" s="87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84"/>
      <c r="R750" s="84"/>
      <c r="S750" s="84"/>
      <c r="T750" s="84"/>
      <c r="U750" s="84"/>
      <c r="V750" s="84"/>
      <c r="W750" s="84"/>
      <c r="X750" s="84"/>
      <c r="Y750" s="84"/>
      <c r="Z750" s="84"/>
      <c r="AA750" s="84"/>
      <c r="AB750" s="84"/>
      <c r="AC750" s="84"/>
      <c r="AD750" s="84"/>
    </row>
    <row r="751" spans="2:30" x14ac:dyDescent="0.25">
      <c r="B751" s="93"/>
      <c r="C751" s="84"/>
      <c r="D751" s="84"/>
      <c r="E751" s="87"/>
      <c r="F751" s="87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  <c r="U751" s="84"/>
      <c r="V751" s="84"/>
      <c r="W751" s="84"/>
      <c r="X751" s="84"/>
      <c r="Y751" s="84"/>
      <c r="Z751" s="84"/>
      <c r="AA751" s="84"/>
      <c r="AB751" s="84"/>
      <c r="AC751" s="84"/>
      <c r="AD751" s="84"/>
    </row>
    <row r="752" spans="2:30" x14ac:dyDescent="0.25">
      <c r="B752" s="93"/>
      <c r="C752" s="84"/>
      <c r="D752" s="84"/>
      <c r="E752" s="87"/>
      <c r="F752" s="87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84"/>
      <c r="R752" s="84"/>
      <c r="S752" s="84"/>
      <c r="T752" s="84"/>
      <c r="U752" s="84"/>
      <c r="V752" s="84"/>
      <c r="W752" s="84"/>
      <c r="X752" s="84"/>
      <c r="Y752" s="84"/>
      <c r="Z752" s="84"/>
      <c r="AA752" s="84"/>
      <c r="AB752" s="84"/>
      <c r="AC752" s="84"/>
      <c r="AD752" s="84"/>
    </row>
    <row r="753" spans="2:30" x14ac:dyDescent="0.25">
      <c r="B753" s="93"/>
      <c r="C753" s="84"/>
      <c r="D753" s="84"/>
      <c r="E753" s="87"/>
      <c r="F753" s="87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84"/>
      <c r="R753" s="84"/>
      <c r="S753" s="84"/>
      <c r="T753" s="84"/>
      <c r="U753" s="84"/>
      <c r="V753" s="84"/>
      <c r="W753" s="84"/>
      <c r="X753" s="84"/>
      <c r="Y753" s="84"/>
      <c r="Z753" s="84"/>
      <c r="AA753" s="84"/>
      <c r="AB753" s="84"/>
      <c r="AC753" s="84"/>
      <c r="AD753" s="84"/>
    </row>
    <row r="754" spans="2:30" x14ac:dyDescent="0.25">
      <c r="B754" s="93"/>
      <c r="C754" s="84"/>
      <c r="D754" s="84"/>
      <c r="E754" s="87"/>
      <c r="F754" s="87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84"/>
      <c r="R754" s="84"/>
      <c r="S754" s="84"/>
      <c r="T754" s="84"/>
      <c r="U754" s="84"/>
      <c r="V754" s="84"/>
      <c r="W754" s="84"/>
      <c r="X754" s="84"/>
      <c r="Y754" s="84"/>
      <c r="Z754" s="84"/>
      <c r="AA754" s="84"/>
      <c r="AB754" s="84"/>
      <c r="AC754" s="84"/>
      <c r="AD754" s="84"/>
    </row>
    <row r="755" spans="2:30" x14ac:dyDescent="0.25">
      <c r="B755" s="93"/>
      <c r="C755" s="84"/>
      <c r="D755" s="84"/>
      <c r="E755" s="87"/>
      <c r="F755" s="87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84"/>
      <c r="R755" s="84"/>
      <c r="S755" s="84"/>
      <c r="T755" s="84"/>
      <c r="U755" s="84"/>
      <c r="V755" s="84"/>
      <c r="W755" s="84"/>
      <c r="X755" s="84"/>
      <c r="Y755" s="84"/>
      <c r="Z755" s="84"/>
      <c r="AA755" s="84"/>
      <c r="AB755" s="84"/>
      <c r="AC755" s="84"/>
      <c r="AD755" s="84"/>
    </row>
    <row r="756" spans="2:30" x14ac:dyDescent="0.25">
      <c r="B756" s="93"/>
      <c r="C756" s="84"/>
      <c r="D756" s="84"/>
      <c r="E756" s="87"/>
      <c r="F756" s="87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84"/>
      <c r="R756" s="84"/>
      <c r="S756" s="84"/>
      <c r="T756" s="84"/>
      <c r="U756" s="84"/>
      <c r="V756" s="84"/>
      <c r="W756" s="84"/>
      <c r="X756" s="84"/>
      <c r="Y756" s="84"/>
      <c r="Z756" s="84"/>
      <c r="AA756" s="84"/>
      <c r="AB756" s="84"/>
      <c r="AC756" s="84"/>
      <c r="AD756" s="84"/>
    </row>
    <row r="757" spans="2:30" x14ac:dyDescent="0.25">
      <c r="B757" s="93"/>
      <c r="C757" s="84"/>
      <c r="D757" s="84"/>
      <c r="E757" s="87"/>
      <c r="F757" s="87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A757" s="84"/>
      <c r="AB757" s="84"/>
      <c r="AC757" s="84"/>
      <c r="AD757" s="84"/>
    </row>
    <row r="758" spans="2:30" x14ac:dyDescent="0.25">
      <c r="B758" s="93"/>
      <c r="C758" s="84"/>
      <c r="D758" s="84"/>
      <c r="E758" s="87"/>
      <c r="F758" s="87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4"/>
      <c r="R758" s="84"/>
      <c r="S758" s="84"/>
      <c r="T758" s="84"/>
      <c r="U758" s="84"/>
      <c r="V758" s="84"/>
      <c r="W758" s="84"/>
      <c r="X758" s="84"/>
      <c r="Y758" s="84"/>
      <c r="Z758" s="84"/>
      <c r="AA758" s="84"/>
      <c r="AB758" s="84"/>
      <c r="AC758" s="84"/>
      <c r="AD758" s="84"/>
    </row>
    <row r="759" spans="2:30" x14ac:dyDescent="0.25">
      <c r="B759" s="93"/>
      <c r="C759" s="84"/>
      <c r="D759" s="84"/>
      <c r="E759" s="87"/>
      <c r="F759" s="87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84"/>
      <c r="R759" s="84"/>
      <c r="S759" s="84"/>
      <c r="T759" s="84"/>
      <c r="U759" s="84"/>
      <c r="V759" s="84"/>
      <c r="W759" s="84"/>
      <c r="X759" s="84"/>
      <c r="Y759" s="84"/>
      <c r="Z759" s="84"/>
      <c r="AA759" s="84"/>
      <c r="AB759" s="84"/>
      <c r="AC759" s="84"/>
      <c r="AD759" s="84"/>
    </row>
    <row r="760" spans="2:30" x14ac:dyDescent="0.25">
      <c r="B760" s="93"/>
      <c r="C760" s="84"/>
      <c r="D760" s="84"/>
      <c r="E760" s="87"/>
      <c r="F760" s="87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84"/>
      <c r="R760" s="84"/>
      <c r="S760" s="84"/>
      <c r="T760" s="84"/>
      <c r="U760" s="84"/>
      <c r="V760" s="84"/>
      <c r="W760" s="84"/>
      <c r="X760" s="84"/>
      <c r="Y760" s="84"/>
      <c r="Z760" s="84"/>
      <c r="AA760" s="84"/>
      <c r="AB760" s="84"/>
      <c r="AC760" s="84"/>
      <c r="AD760" s="84"/>
    </row>
    <row r="761" spans="2:30" x14ac:dyDescent="0.25">
      <c r="B761" s="93"/>
      <c r="C761" s="84"/>
      <c r="D761" s="84"/>
      <c r="E761" s="87"/>
      <c r="F761" s="87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84"/>
      <c r="R761" s="84"/>
      <c r="S761" s="84"/>
      <c r="T761" s="84"/>
      <c r="U761" s="84"/>
      <c r="V761" s="84"/>
      <c r="W761" s="84"/>
      <c r="X761" s="84"/>
      <c r="Y761" s="84"/>
      <c r="Z761" s="84"/>
      <c r="AA761" s="84"/>
      <c r="AB761" s="84"/>
      <c r="AC761" s="84"/>
      <c r="AD761" s="84"/>
    </row>
    <row r="762" spans="2:30" x14ac:dyDescent="0.25">
      <c r="B762" s="93"/>
      <c r="C762" s="84"/>
      <c r="D762" s="84"/>
      <c r="E762" s="87"/>
      <c r="F762" s="87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84"/>
      <c r="R762" s="84"/>
      <c r="S762" s="84"/>
      <c r="T762" s="84"/>
      <c r="U762" s="84"/>
      <c r="V762" s="84"/>
      <c r="W762" s="84"/>
      <c r="X762" s="84"/>
      <c r="Y762" s="84"/>
      <c r="Z762" s="84"/>
      <c r="AA762" s="84"/>
      <c r="AB762" s="84"/>
      <c r="AC762" s="84"/>
      <c r="AD762" s="84"/>
    </row>
    <row r="763" spans="2:30" x14ac:dyDescent="0.25">
      <c r="B763" s="93"/>
      <c r="C763" s="84"/>
      <c r="D763" s="84"/>
      <c r="E763" s="87"/>
      <c r="F763" s="87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84"/>
      <c r="R763" s="84"/>
      <c r="S763" s="84"/>
      <c r="T763" s="84"/>
      <c r="U763" s="84"/>
      <c r="V763" s="84"/>
      <c r="W763" s="84"/>
      <c r="X763" s="84"/>
      <c r="Y763" s="84"/>
      <c r="Z763" s="84"/>
      <c r="AA763" s="84"/>
      <c r="AB763" s="84"/>
      <c r="AC763" s="84"/>
      <c r="AD763" s="84"/>
    </row>
    <row r="764" spans="2:30" x14ac:dyDescent="0.25">
      <c r="B764" s="93"/>
      <c r="C764" s="84"/>
      <c r="D764" s="84"/>
      <c r="E764" s="87"/>
      <c r="F764" s="87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84"/>
      <c r="R764" s="84"/>
      <c r="S764" s="84"/>
      <c r="T764" s="84"/>
      <c r="U764" s="84"/>
      <c r="V764" s="84"/>
      <c r="W764" s="84"/>
      <c r="X764" s="84"/>
      <c r="Y764" s="84"/>
      <c r="Z764" s="84"/>
      <c r="AA764" s="84"/>
      <c r="AB764" s="84"/>
      <c r="AC764" s="84"/>
      <c r="AD764" s="84"/>
    </row>
    <row r="765" spans="2:30" x14ac:dyDescent="0.25">
      <c r="B765" s="93"/>
      <c r="C765" s="84"/>
      <c r="D765" s="84"/>
      <c r="E765" s="87"/>
      <c r="F765" s="87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84"/>
      <c r="R765" s="84"/>
      <c r="S765" s="84"/>
      <c r="T765" s="84"/>
      <c r="U765" s="84"/>
      <c r="V765" s="84"/>
      <c r="W765" s="84"/>
      <c r="X765" s="84"/>
      <c r="Y765" s="84"/>
      <c r="Z765" s="84"/>
      <c r="AA765" s="84"/>
      <c r="AB765" s="84"/>
      <c r="AC765" s="84"/>
      <c r="AD765" s="84"/>
    </row>
    <row r="766" spans="2:30" x14ac:dyDescent="0.25">
      <c r="B766" s="93"/>
      <c r="C766" s="84"/>
      <c r="D766" s="84"/>
      <c r="E766" s="87"/>
      <c r="F766" s="87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84"/>
      <c r="R766" s="84"/>
      <c r="S766" s="84"/>
      <c r="T766" s="84"/>
      <c r="U766" s="84"/>
      <c r="V766" s="84"/>
      <c r="W766" s="84"/>
      <c r="X766" s="84"/>
      <c r="Y766" s="84"/>
      <c r="Z766" s="84"/>
      <c r="AA766" s="84"/>
      <c r="AB766" s="84"/>
      <c r="AC766" s="84"/>
      <c r="AD766" s="84"/>
    </row>
    <row r="767" spans="2:30" x14ac:dyDescent="0.25">
      <c r="B767" s="93"/>
      <c r="C767" s="84"/>
      <c r="D767" s="84"/>
      <c r="E767" s="87"/>
      <c r="F767" s="87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84"/>
      <c r="R767" s="84"/>
      <c r="S767" s="84"/>
      <c r="T767" s="84"/>
      <c r="U767" s="84"/>
      <c r="V767" s="84"/>
      <c r="W767" s="84"/>
      <c r="X767" s="84"/>
      <c r="Y767" s="84"/>
      <c r="Z767" s="84"/>
      <c r="AA767" s="84"/>
      <c r="AB767" s="84"/>
      <c r="AC767" s="84"/>
      <c r="AD767" s="84"/>
    </row>
    <row r="768" spans="2:30" x14ac:dyDescent="0.25">
      <c r="B768" s="93"/>
      <c r="C768" s="84"/>
      <c r="D768" s="84"/>
      <c r="E768" s="87"/>
      <c r="F768" s="87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84"/>
      <c r="R768" s="84"/>
      <c r="S768" s="84"/>
      <c r="T768" s="84"/>
      <c r="U768" s="84"/>
      <c r="V768" s="84"/>
      <c r="W768" s="84"/>
      <c r="X768" s="84"/>
      <c r="Y768" s="84"/>
      <c r="Z768" s="84"/>
      <c r="AA768" s="84"/>
      <c r="AB768" s="84"/>
      <c r="AC768" s="84"/>
      <c r="AD768" s="84"/>
    </row>
    <row r="769" spans="2:30" x14ac:dyDescent="0.25">
      <c r="B769" s="93"/>
      <c r="C769" s="84"/>
      <c r="D769" s="84"/>
      <c r="E769" s="87"/>
      <c r="F769" s="87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84"/>
      <c r="R769" s="84"/>
      <c r="S769" s="84"/>
      <c r="T769" s="84"/>
      <c r="U769" s="84"/>
      <c r="V769" s="84"/>
      <c r="W769" s="84"/>
      <c r="X769" s="84"/>
      <c r="Y769" s="84"/>
      <c r="Z769" s="84"/>
      <c r="AA769" s="84"/>
      <c r="AB769" s="84"/>
      <c r="AC769" s="84"/>
      <c r="AD769" s="84"/>
    </row>
    <row r="770" spans="2:30" x14ac:dyDescent="0.25">
      <c r="B770" s="93"/>
      <c r="C770" s="84"/>
      <c r="D770" s="84"/>
      <c r="E770" s="87"/>
      <c r="F770" s="87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84"/>
      <c r="R770" s="84"/>
      <c r="S770" s="84"/>
      <c r="T770" s="84"/>
      <c r="U770" s="84"/>
      <c r="V770" s="84"/>
      <c r="W770" s="84"/>
      <c r="X770" s="84"/>
      <c r="Y770" s="84"/>
      <c r="Z770" s="84"/>
      <c r="AA770" s="84"/>
      <c r="AB770" s="84"/>
      <c r="AC770" s="84"/>
      <c r="AD770" s="84"/>
    </row>
    <row r="771" spans="2:30" x14ac:dyDescent="0.25">
      <c r="B771" s="93"/>
      <c r="C771" s="84"/>
      <c r="D771" s="84"/>
      <c r="E771" s="87"/>
      <c r="F771" s="87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84"/>
      <c r="R771" s="84"/>
      <c r="S771" s="84"/>
      <c r="T771" s="84"/>
      <c r="U771" s="84"/>
      <c r="V771" s="84"/>
      <c r="W771" s="84"/>
      <c r="X771" s="84"/>
      <c r="Y771" s="84"/>
      <c r="Z771" s="84"/>
      <c r="AA771" s="84"/>
      <c r="AB771" s="84"/>
      <c r="AC771" s="84"/>
      <c r="AD771" s="84"/>
    </row>
    <row r="772" spans="2:30" x14ac:dyDescent="0.25">
      <c r="B772" s="93"/>
      <c r="C772" s="84"/>
      <c r="D772" s="84"/>
      <c r="E772" s="87"/>
      <c r="F772" s="87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84"/>
      <c r="R772" s="84"/>
      <c r="S772" s="84"/>
      <c r="T772" s="84"/>
      <c r="U772" s="84"/>
      <c r="V772" s="84"/>
      <c r="W772" s="84"/>
      <c r="X772" s="84"/>
      <c r="Y772" s="84"/>
      <c r="Z772" s="84"/>
      <c r="AA772" s="84"/>
      <c r="AB772" s="84"/>
      <c r="AC772" s="84"/>
      <c r="AD772" s="84"/>
    </row>
    <row r="773" spans="2:30" x14ac:dyDescent="0.25">
      <c r="B773" s="93"/>
      <c r="C773" s="84"/>
      <c r="D773" s="84"/>
      <c r="E773" s="87"/>
      <c r="F773" s="87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84"/>
      <c r="R773" s="84"/>
      <c r="S773" s="84"/>
      <c r="T773" s="84"/>
      <c r="U773" s="84"/>
      <c r="V773" s="84"/>
      <c r="W773" s="84"/>
      <c r="X773" s="84"/>
      <c r="Y773" s="84"/>
      <c r="Z773" s="84"/>
      <c r="AA773" s="84"/>
      <c r="AB773" s="84"/>
      <c r="AC773" s="84"/>
      <c r="AD773" s="84"/>
    </row>
    <row r="774" spans="2:30" x14ac:dyDescent="0.25">
      <c r="B774" s="93"/>
      <c r="C774" s="84"/>
      <c r="D774" s="84"/>
      <c r="E774" s="87"/>
      <c r="F774" s="87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84"/>
      <c r="R774" s="84"/>
      <c r="S774" s="84"/>
      <c r="T774" s="84"/>
      <c r="U774" s="84"/>
      <c r="V774" s="84"/>
      <c r="W774" s="84"/>
      <c r="X774" s="84"/>
      <c r="Y774" s="84"/>
      <c r="Z774" s="84"/>
      <c r="AA774" s="84"/>
      <c r="AB774" s="84"/>
      <c r="AC774" s="84"/>
      <c r="AD774" s="84"/>
    </row>
    <row r="775" spans="2:30" x14ac:dyDescent="0.25">
      <c r="B775" s="93"/>
      <c r="C775" s="84"/>
      <c r="D775" s="84"/>
      <c r="E775" s="87"/>
      <c r="F775" s="87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84"/>
      <c r="R775" s="84"/>
      <c r="S775" s="84"/>
      <c r="T775" s="84"/>
      <c r="U775" s="84"/>
      <c r="V775" s="84"/>
      <c r="W775" s="84"/>
      <c r="X775" s="84"/>
      <c r="Y775" s="84"/>
      <c r="Z775" s="84"/>
      <c r="AA775" s="84"/>
      <c r="AB775" s="84"/>
      <c r="AC775" s="84"/>
      <c r="AD775" s="84"/>
    </row>
    <row r="776" spans="2:30" x14ac:dyDescent="0.25">
      <c r="B776" s="93"/>
      <c r="C776" s="84"/>
      <c r="D776" s="84"/>
      <c r="E776" s="87"/>
      <c r="F776" s="87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84"/>
      <c r="R776" s="84"/>
      <c r="S776" s="84"/>
      <c r="T776" s="84"/>
      <c r="U776" s="84"/>
      <c r="V776" s="84"/>
      <c r="W776" s="84"/>
      <c r="X776" s="84"/>
      <c r="Y776" s="84"/>
      <c r="Z776" s="84"/>
      <c r="AA776" s="84"/>
      <c r="AB776" s="84"/>
      <c r="AC776" s="84"/>
      <c r="AD776" s="84"/>
    </row>
    <row r="777" spans="2:30" x14ac:dyDescent="0.25">
      <c r="B777" s="93"/>
      <c r="C777" s="84"/>
      <c r="D777" s="84"/>
      <c r="E777" s="87"/>
      <c r="F777" s="87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84"/>
      <c r="S777" s="84"/>
      <c r="T777" s="84"/>
      <c r="U777" s="84"/>
      <c r="V777" s="84"/>
      <c r="W777" s="84"/>
      <c r="X777" s="84"/>
      <c r="Y777" s="84"/>
      <c r="Z777" s="84"/>
      <c r="AA777" s="84"/>
      <c r="AB777" s="84"/>
      <c r="AC777" s="84"/>
      <c r="AD777" s="84"/>
    </row>
    <row r="778" spans="2:30" x14ac:dyDescent="0.25">
      <c r="B778" s="93"/>
      <c r="C778" s="84"/>
      <c r="D778" s="84"/>
      <c r="E778" s="87"/>
      <c r="F778" s="87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84"/>
      <c r="R778" s="84"/>
      <c r="S778" s="84"/>
      <c r="T778" s="84"/>
      <c r="U778" s="84"/>
      <c r="V778" s="84"/>
      <c r="W778" s="84"/>
      <c r="X778" s="84"/>
      <c r="Y778" s="84"/>
      <c r="Z778" s="84"/>
      <c r="AA778" s="84"/>
      <c r="AB778" s="84"/>
      <c r="AC778" s="84"/>
      <c r="AD778" s="84"/>
    </row>
    <row r="779" spans="2:30" x14ac:dyDescent="0.25">
      <c r="B779" s="93"/>
      <c r="C779" s="84"/>
      <c r="D779" s="84"/>
      <c r="E779" s="87"/>
      <c r="F779" s="87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84"/>
      <c r="R779" s="84"/>
      <c r="S779" s="84"/>
      <c r="T779" s="84"/>
      <c r="U779" s="84"/>
      <c r="V779" s="84"/>
      <c r="W779" s="84"/>
      <c r="X779" s="84"/>
      <c r="Y779" s="84"/>
      <c r="Z779" s="84"/>
      <c r="AA779" s="84"/>
      <c r="AB779" s="84"/>
      <c r="AC779" s="84"/>
      <c r="AD779" s="84"/>
    </row>
    <row r="780" spans="2:30" x14ac:dyDescent="0.25">
      <c r="B780" s="93"/>
      <c r="C780" s="84"/>
      <c r="D780" s="84"/>
      <c r="E780" s="87"/>
      <c r="F780" s="87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84"/>
      <c r="R780" s="84"/>
      <c r="S780" s="84"/>
      <c r="T780" s="84"/>
      <c r="U780" s="84"/>
      <c r="V780" s="84"/>
      <c r="W780" s="84"/>
      <c r="X780" s="84"/>
      <c r="Y780" s="84"/>
      <c r="Z780" s="84"/>
      <c r="AA780" s="84"/>
      <c r="AB780" s="84"/>
      <c r="AC780" s="84"/>
      <c r="AD780" s="84"/>
    </row>
    <row r="781" spans="2:30" x14ac:dyDescent="0.25">
      <c r="B781" s="93"/>
      <c r="C781" s="84"/>
      <c r="D781" s="84"/>
      <c r="E781" s="87"/>
      <c r="F781" s="87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84"/>
      <c r="R781" s="84"/>
      <c r="S781" s="84"/>
      <c r="T781" s="84"/>
      <c r="U781" s="84"/>
      <c r="V781" s="84"/>
      <c r="W781" s="84"/>
      <c r="X781" s="84"/>
      <c r="Y781" s="84"/>
      <c r="Z781" s="84"/>
      <c r="AA781" s="84"/>
      <c r="AB781" s="84"/>
      <c r="AC781" s="84"/>
      <c r="AD781" s="84"/>
    </row>
    <row r="782" spans="2:30" x14ac:dyDescent="0.25">
      <c r="B782" s="93"/>
      <c r="C782" s="84"/>
      <c r="D782" s="84"/>
      <c r="E782" s="87"/>
      <c r="F782" s="87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84"/>
      <c r="R782" s="84"/>
      <c r="S782" s="84"/>
      <c r="T782" s="84"/>
      <c r="U782" s="84"/>
      <c r="V782" s="84"/>
      <c r="W782" s="84"/>
      <c r="X782" s="84"/>
      <c r="Y782" s="84"/>
      <c r="Z782" s="84"/>
      <c r="AA782" s="84"/>
      <c r="AB782" s="84"/>
      <c r="AC782" s="84"/>
      <c r="AD782" s="84"/>
    </row>
    <row r="783" spans="2:30" x14ac:dyDescent="0.25">
      <c r="B783" s="93"/>
      <c r="C783" s="84"/>
      <c r="D783" s="84"/>
      <c r="E783" s="87"/>
      <c r="F783" s="87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84"/>
      <c r="R783" s="84"/>
      <c r="S783" s="84"/>
      <c r="T783" s="84"/>
      <c r="U783" s="84"/>
      <c r="V783" s="84"/>
      <c r="W783" s="84"/>
      <c r="X783" s="84"/>
      <c r="Y783" s="84"/>
      <c r="Z783" s="84"/>
      <c r="AA783" s="84"/>
      <c r="AB783" s="84"/>
      <c r="AC783" s="84"/>
      <c r="AD783" s="84"/>
    </row>
    <row r="784" spans="2:30" x14ac:dyDescent="0.25">
      <c r="B784" s="93"/>
      <c r="C784" s="84"/>
      <c r="D784" s="84"/>
      <c r="E784" s="87"/>
      <c r="F784" s="87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84"/>
      <c r="R784" s="84"/>
      <c r="S784" s="84"/>
      <c r="T784" s="84"/>
      <c r="U784" s="84"/>
      <c r="V784" s="84"/>
      <c r="W784" s="84"/>
      <c r="X784" s="84"/>
      <c r="Y784" s="84"/>
      <c r="Z784" s="84"/>
      <c r="AA784" s="84"/>
      <c r="AB784" s="84"/>
      <c r="AC784" s="84"/>
      <c r="AD784" s="84"/>
    </row>
    <row r="785" spans="2:30" x14ac:dyDescent="0.25">
      <c r="B785" s="93"/>
      <c r="C785" s="84"/>
      <c r="D785" s="84"/>
      <c r="E785" s="87"/>
      <c r="F785" s="87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84"/>
      <c r="R785" s="84"/>
      <c r="S785" s="84"/>
      <c r="T785" s="84"/>
      <c r="U785" s="84"/>
      <c r="V785" s="84"/>
      <c r="W785" s="84"/>
      <c r="X785" s="84"/>
      <c r="Y785" s="84"/>
      <c r="Z785" s="84"/>
      <c r="AA785" s="84"/>
      <c r="AB785" s="84"/>
      <c r="AC785" s="84"/>
      <c r="AD785" s="84"/>
    </row>
    <row r="786" spans="2:30" x14ac:dyDescent="0.25">
      <c r="B786" s="93"/>
      <c r="C786" s="84"/>
      <c r="D786" s="84"/>
      <c r="E786" s="87"/>
      <c r="F786" s="87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84"/>
      <c r="R786" s="84"/>
      <c r="S786" s="84"/>
      <c r="T786" s="84"/>
      <c r="U786" s="84"/>
      <c r="V786" s="84"/>
      <c r="W786" s="84"/>
      <c r="X786" s="84"/>
      <c r="Y786" s="84"/>
      <c r="Z786" s="84"/>
      <c r="AA786" s="84"/>
      <c r="AB786" s="84"/>
      <c r="AC786" s="84"/>
      <c r="AD786" s="84"/>
    </row>
    <row r="787" spans="2:30" x14ac:dyDescent="0.25">
      <c r="B787" s="93"/>
      <c r="C787" s="84"/>
      <c r="D787" s="84"/>
      <c r="E787" s="87"/>
      <c r="F787" s="87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84"/>
      <c r="R787" s="84"/>
      <c r="S787" s="84"/>
      <c r="T787" s="84"/>
      <c r="U787" s="84"/>
      <c r="V787" s="84"/>
      <c r="W787" s="84"/>
      <c r="X787" s="84"/>
      <c r="Y787" s="84"/>
      <c r="Z787" s="84"/>
      <c r="AA787" s="84"/>
      <c r="AB787" s="84"/>
      <c r="AC787" s="84"/>
      <c r="AD787" s="84"/>
    </row>
    <row r="788" spans="2:30" x14ac:dyDescent="0.25">
      <c r="B788" s="93"/>
      <c r="C788" s="84"/>
      <c r="D788" s="84"/>
      <c r="E788" s="87"/>
      <c r="F788" s="87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84"/>
      <c r="R788" s="84"/>
      <c r="S788" s="84"/>
      <c r="T788" s="84"/>
      <c r="U788" s="84"/>
      <c r="V788" s="84"/>
      <c r="W788" s="84"/>
      <c r="X788" s="84"/>
      <c r="Y788" s="84"/>
      <c r="Z788" s="84"/>
      <c r="AA788" s="84"/>
      <c r="AB788" s="84"/>
      <c r="AC788" s="84"/>
      <c r="AD788" s="84"/>
    </row>
    <row r="789" spans="2:30" x14ac:dyDescent="0.25">
      <c r="B789" s="93"/>
      <c r="C789" s="84"/>
      <c r="D789" s="84"/>
      <c r="E789" s="87"/>
      <c r="F789" s="87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84"/>
      <c r="R789" s="84"/>
      <c r="S789" s="84"/>
      <c r="T789" s="84"/>
      <c r="U789" s="84"/>
      <c r="V789" s="84"/>
      <c r="W789" s="84"/>
      <c r="X789" s="84"/>
      <c r="Y789" s="84"/>
      <c r="Z789" s="84"/>
      <c r="AA789" s="84"/>
      <c r="AB789" s="84"/>
      <c r="AC789" s="84"/>
      <c r="AD789" s="84"/>
    </row>
    <row r="790" spans="2:30" x14ac:dyDescent="0.25">
      <c r="B790" s="93"/>
      <c r="C790" s="84"/>
      <c r="D790" s="84"/>
      <c r="E790" s="87"/>
      <c r="F790" s="87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84"/>
      <c r="R790" s="84"/>
      <c r="S790" s="84"/>
      <c r="T790" s="84"/>
      <c r="U790" s="84"/>
      <c r="V790" s="84"/>
      <c r="W790" s="84"/>
      <c r="X790" s="84"/>
      <c r="Y790" s="84"/>
      <c r="Z790" s="84"/>
      <c r="AA790" s="84"/>
      <c r="AB790" s="84"/>
      <c r="AC790" s="84"/>
      <c r="AD790" s="84"/>
    </row>
    <row r="791" spans="2:30" x14ac:dyDescent="0.25">
      <c r="B791" s="93"/>
      <c r="C791" s="84"/>
      <c r="D791" s="84"/>
      <c r="E791" s="87"/>
      <c r="F791" s="87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84"/>
      <c r="R791" s="84"/>
      <c r="S791" s="84"/>
      <c r="T791" s="84"/>
      <c r="U791" s="84"/>
      <c r="V791" s="84"/>
      <c r="W791" s="84"/>
      <c r="X791" s="84"/>
      <c r="Y791" s="84"/>
      <c r="Z791" s="84"/>
      <c r="AA791" s="84"/>
      <c r="AB791" s="84"/>
      <c r="AC791" s="84"/>
      <c r="AD791" s="84"/>
    </row>
    <row r="792" spans="2:30" x14ac:dyDescent="0.25">
      <c r="B792" s="93"/>
      <c r="C792" s="84"/>
      <c r="D792" s="84"/>
      <c r="E792" s="87"/>
      <c r="F792" s="87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84"/>
      <c r="R792" s="84"/>
      <c r="S792" s="84"/>
      <c r="T792" s="84"/>
      <c r="U792" s="84"/>
      <c r="V792" s="84"/>
      <c r="W792" s="84"/>
      <c r="X792" s="84"/>
      <c r="Y792" s="84"/>
      <c r="Z792" s="84"/>
      <c r="AA792" s="84"/>
      <c r="AB792" s="84"/>
      <c r="AC792" s="84"/>
      <c r="AD792" s="84"/>
    </row>
    <row r="793" spans="2:30" x14ac:dyDescent="0.25">
      <c r="B793" s="93"/>
      <c r="C793" s="84"/>
      <c r="D793" s="84"/>
      <c r="E793" s="87"/>
      <c r="F793" s="87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84"/>
      <c r="R793" s="84"/>
      <c r="S793" s="84"/>
      <c r="T793" s="84"/>
      <c r="U793" s="84"/>
      <c r="V793" s="84"/>
      <c r="W793" s="84"/>
      <c r="X793" s="84"/>
      <c r="Y793" s="84"/>
      <c r="Z793" s="84"/>
      <c r="AA793" s="84"/>
      <c r="AB793" s="84"/>
      <c r="AC793" s="84"/>
      <c r="AD793" s="84"/>
    </row>
    <row r="794" spans="2:30" x14ac:dyDescent="0.25">
      <c r="B794" s="93"/>
      <c r="C794" s="84"/>
      <c r="D794" s="84"/>
      <c r="E794" s="87"/>
      <c r="F794" s="87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4"/>
      <c r="R794" s="84"/>
      <c r="S794" s="84"/>
      <c r="T794" s="84"/>
      <c r="U794" s="84"/>
      <c r="V794" s="84"/>
      <c r="W794" s="84"/>
      <c r="X794" s="84"/>
      <c r="Y794" s="84"/>
      <c r="Z794" s="84"/>
      <c r="AA794" s="84"/>
      <c r="AB794" s="84"/>
      <c r="AC794" s="84"/>
      <c r="AD794" s="84"/>
    </row>
    <row r="795" spans="2:30" x14ac:dyDescent="0.25">
      <c r="B795" s="93"/>
      <c r="C795" s="84"/>
      <c r="D795" s="84"/>
      <c r="E795" s="87"/>
      <c r="F795" s="87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84"/>
      <c r="R795" s="84"/>
      <c r="S795" s="84"/>
      <c r="T795" s="84"/>
      <c r="U795" s="84"/>
      <c r="V795" s="84"/>
      <c r="W795" s="84"/>
      <c r="X795" s="84"/>
      <c r="Y795" s="84"/>
      <c r="Z795" s="84"/>
      <c r="AA795" s="84"/>
      <c r="AB795" s="84"/>
      <c r="AC795" s="84"/>
      <c r="AD795" s="84"/>
    </row>
    <row r="796" spans="2:30" x14ac:dyDescent="0.25">
      <c r="B796" s="93"/>
      <c r="C796" s="84"/>
      <c r="D796" s="84"/>
      <c r="E796" s="87"/>
      <c r="F796" s="87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84"/>
      <c r="R796" s="84"/>
      <c r="S796" s="84"/>
      <c r="T796" s="84"/>
      <c r="U796" s="84"/>
      <c r="V796" s="84"/>
      <c r="W796" s="84"/>
      <c r="X796" s="84"/>
      <c r="Y796" s="84"/>
      <c r="Z796" s="84"/>
      <c r="AA796" s="84"/>
      <c r="AB796" s="84"/>
      <c r="AC796" s="84"/>
      <c r="AD796" s="84"/>
    </row>
    <row r="797" spans="2:30" x14ac:dyDescent="0.25">
      <c r="B797" s="93"/>
      <c r="C797" s="84"/>
      <c r="D797" s="84"/>
      <c r="E797" s="87"/>
      <c r="F797" s="87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84"/>
      <c r="R797" s="84"/>
      <c r="S797" s="84"/>
      <c r="T797" s="84"/>
      <c r="U797" s="84"/>
      <c r="V797" s="84"/>
      <c r="W797" s="84"/>
      <c r="X797" s="84"/>
      <c r="Y797" s="84"/>
      <c r="Z797" s="84"/>
      <c r="AA797" s="84"/>
      <c r="AB797" s="84"/>
      <c r="AC797" s="84"/>
      <c r="AD797" s="84"/>
    </row>
    <row r="798" spans="2:30" x14ac:dyDescent="0.25">
      <c r="B798" s="93"/>
      <c r="C798" s="84"/>
      <c r="D798" s="84"/>
      <c r="E798" s="87"/>
      <c r="F798" s="87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84"/>
      <c r="R798" s="84"/>
      <c r="S798" s="84"/>
      <c r="T798" s="84"/>
      <c r="U798" s="84"/>
      <c r="V798" s="84"/>
      <c r="W798" s="84"/>
      <c r="X798" s="84"/>
      <c r="Y798" s="84"/>
      <c r="Z798" s="84"/>
      <c r="AA798" s="84"/>
      <c r="AB798" s="84"/>
      <c r="AC798" s="84"/>
      <c r="AD798" s="84"/>
    </row>
    <row r="799" spans="2:30" x14ac:dyDescent="0.25">
      <c r="B799" s="93"/>
      <c r="C799" s="84"/>
      <c r="D799" s="84"/>
      <c r="E799" s="87"/>
      <c r="F799" s="87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84"/>
      <c r="R799" s="84"/>
      <c r="S799" s="84"/>
      <c r="T799" s="84"/>
      <c r="U799" s="84"/>
      <c r="V799" s="84"/>
      <c r="W799" s="84"/>
      <c r="X799" s="84"/>
      <c r="Y799" s="84"/>
      <c r="Z799" s="84"/>
      <c r="AA799" s="84"/>
      <c r="AB799" s="84"/>
      <c r="AC799" s="84"/>
      <c r="AD799" s="84"/>
    </row>
    <row r="800" spans="2:30" x14ac:dyDescent="0.25">
      <c r="B800" s="93"/>
      <c r="C800" s="84"/>
      <c r="D800" s="84"/>
      <c r="E800" s="87"/>
      <c r="F800" s="87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84"/>
      <c r="R800" s="84"/>
      <c r="S800" s="84"/>
      <c r="T800" s="84"/>
      <c r="U800" s="84"/>
      <c r="V800" s="84"/>
      <c r="W800" s="84"/>
      <c r="X800" s="84"/>
      <c r="Y800" s="84"/>
      <c r="Z800" s="84"/>
      <c r="AA800" s="84"/>
      <c r="AB800" s="84"/>
      <c r="AC800" s="84"/>
      <c r="AD800" s="84"/>
    </row>
    <row r="801" spans="2:30" x14ac:dyDescent="0.25">
      <c r="B801" s="93"/>
      <c r="C801" s="84"/>
      <c r="D801" s="84"/>
      <c r="E801" s="87"/>
      <c r="F801" s="87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84"/>
      <c r="R801" s="84"/>
      <c r="S801" s="84"/>
      <c r="T801" s="84"/>
      <c r="U801" s="84"/>
      <c r="V801" s="84"/>
      <c r="W801" s="84"/>
      <c r="X801" s="84"/>
      <c r="Y801" s="84"/>
      <c r="Z801" s="84"/>
      <c r="AA801" s="84"/>
      <c r="AB801" s="84"/>
      <c r="AC801" s="84"/>
      <c r="AD801" s="84"/>
    </row>
    <row r="802" spans="2:30" x14ac:dyDescent="0.25">
      <c r="B802" s="93"/>
      <c r="C802" s="84"/>
      <c r="D802" s="84"/>
      <c r="E802" s="87"/>
      <c r="F802" s="87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84"/>
      <c r="R802" s="84"/>
      <c r="S802" s="84"/>
      <c r="T802" s="84"/>
      <c r="U802" s="84"/>
      <c r="V802" s="84"/>
      <c r="W802" s="84"/>
      <c r="X802" s="84"/>
      <c r="Y802" s="84"/>
      <c r="Z802" s="84"/>
      <c r="AA802" s="84"/>
      <c r="AB802" s="84"/>
      <c r="AC802" s="84"/>
      <c r="AD802" s="84"/>
    </row>
    <row r="803" spans="2:30" x14ac:dyDescent="0.25">
      <c r="B803" s="93"/>
      <c r="C803" s="84"/>
      <c r="D803" s="84"/>
      <c r="E803" s="87"/>
      <c r="F803" s="87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84"/>
      <c r="R803" s="84"/>
      <c r="S803" s="84"/>
      <c r="T803" s="84"/>
      <c r="U803" s="84"/>
      <c r="V803" s="84"/>
      <c r="W803" s="84"/>
      <c r="X803" s="84"/>
      <c r="Y803" s="84"/>
      <c r="Z803" s="84"/>
      <c r="AA803" s="84"/>
      <c r="AB803" s="84"/>
      <c r="AC803" s="84"/>
      <c r="AD803" s="84"/>
    </row>
    <row r="804" spans="2:30" x14ac:dyDescent="0.25">
      <c r="B804" s="93"/>
      <c r="C804" s="84"/>
      <c r="D804" s="84"/>
      <c r="E804" s="87"/>
      <c r="F804" s="87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  <c r="U804" s="84"/>
      <c r="V804" s="84"/>
      <c r="W804" s="84"/>
      <c r="X804" s="84"/>
      <c r="Y804" s="84"/>
      <c r="Z804" s="84"/>
      <c r="AA804" s="84"/>
      <c r="AB804" s="84"/>
      <c r="AC804" s="84"/>
      <c r="AD804" s="84"/>
    </row>
    <row r="805" spans="2:30" x14ac:dyDescent="0.25">
      <c r="B805" s="93"/>
      <c r="C805" s="84"/>
      <c r="D805" s="84"/>
      <c r="E805" s="87"/>
      <c r="F805" s="87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84"/>
      <c r="R805" s="84"/>
      <c r="S805" s="84"/>
      <c r="T805" s="84"/>
      <c r="U805" s="84"/>
      <c r="V805" s="84"/>
      <c r="W805" s="84"/>
      <c r="X805" s="84"/>
      <c r="Y805" s="84"/>
      <c r="Z805" s="84"/>
      <c r="AA805" s="84"/>
      <c r="AB805" s="84"/>
      <c r="AC805" s="84"/>
      <c r="AD805" s="84"/>
    </row>
    <row r="806" spans="2:30" x14ac:dyDescent="0.25">
      <c r="B806" s="93"/>
      <c r="C806" s="84"/>
      <c r="D806" s="84"/>
      <c r="E806" s="87"/>
      <c r="F806" s="87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84"/>
      <c r="R806" s="84"/>
      <c r="S806" s="84"/>
      <c r="T806" s="84"/>
      <c r="U806" s="84"/>
      <c r="V806" s="84"/>
      <c r="W806" s="84"/>
      <c r="X806" s="84"/>
      <c r="Y806" s="84"/>
      <c r="Z806" s="84"/>
      <c r="AA806" s="84"/>
      <c r="AB806" s="84"/>
      <c r="AC806" s="84"/>
      <c r="AD806" s="84"/>
    </row>
    <row r="807" spans="2:30" x14ac:dyDescent="0.25">
      <c r="B807" s="93"/>
      <c r="C807" s="84"/>
      <c r="D807" s="84"/>
      <c r="E807" s="87"/>
      <c r="F807" s="87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84"/>
      <c r="R807" s="84"/>
      <c r="S807" s="84"/>
      <c r="T807" s="84"/>
      <c r="U807" s="84"/>
      <c r="V807" s="84"/>
      <c r="W807" s="84"/>
      <c r="X807" s="84"/>
      <c r="Y807" s="84"/>
      <c r="Z807" s="84"/>
      <c r="AA807" s="84"/>
      <c r="AB807" s="84"/>
      <c r="AC807" s="84"/>
      <c r="AD807" s="84"/>
    </row>
    <row r="808" spans="2:30" x14ac:dyDescent="0.25">
      <c r="B808" s="93"/>
      <c r="C808" s="84"/>
      <c r="D808" s="84"/>
      <c r="E808" s="87"/>
      <c r="F808" s="87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84"/>
      <c r="R808" s="84"/>
      <c r="S808" s="84"/>
      <c r="T808" s="84"/>
      <c r="U808" s="84"/>
      <c r="V808" s="84"/>
      <c r="W808" s="84"/>
      <c r="X808" s="84"/>
      <c r="Y808" s="84"/>
      <c r="Z808" s="84"/>
      <c r="AA808" s="84"/>
      <c r="AB808" s="84"/>
      <c r="AC808" s="84"/>
      <c r="AD808" s="84"/>
    </row>
    <row r="809" spans="2:30" x14ac:dyDescent="0.25">
      <c r="B809" s="93"/>
      <c r="C809" s="84"/>
      <c r="D809" s="84"/>
      <c r="E809" s="87"/>
      <c r="F809" s="87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84"/>
      <c r="R809" s="84"/>
      <c r="S809" s="84"/>
      <c r="T809" s="84"/>
      <c r="U809" s="84"/>
      <c r="V809" s="84"/>
      <c r="W809" s="84"/>
      <c r="X809" s="84"/>
      <c r="Y809" s="84"/>
      <c r="Z809" s="84"/>
      <c r="AA809" s="84"/>
      <c r="AB809" s="84"/>
      <c r="AC809" s="84"/>
      <c r="AD809" s="84"/>
    </row>
    <row r="810" spans="2:30" x14ac:dyDescent="0.25">
      <c r="B810" s="93"/>
      <c r="C810" s="84"/>
      <c r="D810" s="84"/>
      <c r="E810" s="87"/>
      <c r="F810" s="87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84"/>
      <c r="R810" s="84"/>
      <c r="S810" s="84"/>
      <c r="T810" s="84"/>
      <c r="U810" s="84"/>
      <c r="V810" s="84"/>
      <c r="W810" s="84"/>
      <c r="X810" s="84"/>
      <c r="Y810" s="84"/>
      <c r="Z810" s="84"/>
      <c r="AA810" s="84"/>
      <c r="AB810" s="84"/>
      <c r="AC810" s="84"/>
      <c r="AD810" s="84"/>
    </row>
    <row r="811" spans="2:30" x14ac:dyDescent="0.25">
      <c r="B811" s="93"/>
      <c r="C811" s="84"/>
      <c r="D811" s="84"/>
      <c r="E811" s="87"/>
      <c r="F811" s="87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84"/>
      <c r="R811" s="84"/>
      <c r="S811" s="84"/>
      <c r="T811" s="84"/>
      <c r="U811" s="84"/>
      <c r="V811" s="84"/>
      <c r="W811" s="84"/>
      <c r="X811" s="84"/>
      <c r="Y811" s="84"/>
      <c r="Z811" s="84"/>
      <c r="AA811" s="84"/>
      <c r="AB811" s="84"/>
      <c r="AC811" s="84"/>
      <c r="AD811" s="84"/>
    </row>
    <row r="812" spans="2:30" x14ac:dyDescent="0.25">
      <c r="B812" s="93"/>
      <c r="C812" s="84"/>
      <c r="D812" s="84"/>
      <c r="E812" s="87"/>
      <c r="F812" s="87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84"/>
      <c r="R812" s="84"/>
      <c r="S812" s="84"/>
      <c r="T812" s="84"/>
      <c r="U812" s="84"/>
      <c r="V812" s="84"/>
      <c r="W812" s="84"/>
      <c r="X812" s="84"/>
      <c r="Y812" s="84"/>
      <c r="Z812" s="84"/>
      <c r="AA812" s="84"/>
      <c r="AB812" s="84"/>
      <c r="AC812" s="84"/>
      <c r="AD812" s="84"/>
    </row>
    <row r="813" spans="2:30" x14ac:dyDescent="0.25">
      <c r="B813" s="93"/>
      <c r="C813" s="84"/>
      <c r="D813" s="84"/>
      <c r="E813" s="87"/>
      <c r="F813" s="87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84"/>
      <c r="R813" s="84"/>
      <c r="S813" s="84"/>
      <c r="T813" s="84"/>
      <c r="U813" s="84"/>
      <c r="V813" s="84"/>
      <c r="W813" s="84"/>
      <c r="X813" s="84"/>
      <c r="Y813" s="84"/>
      <c r="Z813" s="84"/>
      <c r="AA813" s="84"/>
      <c r="AB813" s="84"/>
      <c r="AC813" s="84"/>
      <c r="AD813" s="84"/>
    </row>
    <row r="814" spans="2:30" x14ac:dyDescent="0.25">
      <c r="B814" s="93"/>
      <c r="C814" s="84"/>
      <c r="D814" s="84"/>
      <c r="E814" s="87"/>
      <c r="F814" s="87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84"/>
      <c r="R814" s="84"/>
      <c r="S814" s="84"/>
      <c r="T814" s="84"/>
      <c r="U814" s="84"/>
      <c r="V814" s="84"/>
      <c r="W814" s="84"/>
      <c r="X814" s="84"/>
      <c r="Y814" s="84"/>
      <c r="Z814" s="84"/>
      <c r="AA814" s="84"/>
      <c r="AB814" s="84"/>
      <c r="AC814" s="84"/>
      <c r="AD814" s="84"/>
    </row>
    <row r="815" spans="2:30" x14ac:dyDescent="0.25">
      <c r="B815" s="93"/>
      <c r="C815" s="84"/>
      <c r="D815" s="84"/>
      <c r="E815" s="87"/>
      <c r="F815" s="87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84"/>
      <c r="R815" s="84"/>
      <c r="S815" s="84"/>
      <c r="T815" s="84"/>
      <c r="U815" s="84"/>
      <c r="V815" s="84"/>
      <c r="W815" s="84"/>
      <c r="X815" s="84"/>
      <c r="Y815" s="84"/>
      <c r="Z815" s="84"/>
      <c r="AA815" s="84"/>
      <c r="AB815" s="84"/>
      <c r="AC815" s="84"/>
      <c r="AD815" s="84"/>
    </row>
    <row r="816" spans="2:30" x14ac:dyDescent="0.25">
      <c r="B816" s="93"/>
      <c r="C816" s="84"/>
      <c r="D816" s="84"/>
      <c r="E816" s="87"/>
      <c r="F816" s="87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84"/>
      <c r="R816" s="84"/>
      <c r="S816" s="84"/>
      <c r="T816" s="84"/>
      <c r="U816" s="84"/>
      <c r="V816" s="84"/>
      <c r="W816" s="84"/>
      <c r="X816" s="84"/>
      <c r="Y816" s="84"/>
      <c r="Z816" s="84"/>
      <c r="AA816" s="84"/>
      <c r="AB816" s="84"/>
      <c r="AC816" s="84"/>
      <c r="AD816" s="84"/>
    </row>
    <row r="817" spans="2:30" x14ac:dyDescent="0.25">
      <c r="B817" s="93"/>
      <c r="C817" s="84"/>
      <c r="D817" s="84"/>
      <c r="E817" s="87"/>
      <c r="F817" s="87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84"/>
      <c r="R817" s="84"/>
      <c r="S817" s="84"/>
      <c r="T817" s="84"/>
      <c r="U817" s="84"/>
      <c r="V817" s="84"/>
      <c r="W817" s="84"/>
      <c r="X817" s="84"/>
      <c r="Y817" s="84"/>
      <c r="Z817" s="84"/>
      <c r="AA817" s="84"/>
      <c r="AB817" s="84"/>
      <c r="AC817" s="84"/>
      <c r="AD817" s="84"/>
    </row>
    <row r="818" spans="2:30" x14ac:dyDescent="0.25">
      <c r="B818" s="93"/>
      <c r="C818" s="84"/>
      <c r="D818" s="84"/>
      <c r="E818" s="87"/>
      <c r="F818" s="87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84"/>
      <c r="R818" s="84"/>
      <c r="S818" s="84"/>
      <c r="T818" s="84"/>
      <c r="U818" s="84"/>
      <c r="V818" s="84"/>
      <c r="W818" s="84"/>
      <c r="X818" s="84"/>
      <c r="Y818" s="84"/>
      <c r="Z818" s="84"/>
      <c r="AA818" s="84"/>
      <c r="AB818" s="84"/>
      <c r="AC818" s="84"/>
      <c r="AD818" s="84"/>
    </row>
    <row r="819" spans="2:30" x14ac:dyDescent="0.25">
      <c r="B819" s="93"/>
      <c r="C819" s="84"/>
      <c r="D819" s="84"/>
      <c r="E819" s="87"/>
      <c r="F819" s="87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84"/>
      <c r="R819" s="84"/>
      <c r="S819" s="84"/>
      <c r="T819" s="84"/>
      <c r="U819" s="84"/>
      <c r="V819" s="84"/>
      <c r="W819" s="84"/>
      <c r="X819" s="84"/>
      <c r="Y819" s="84"/>
      <c r="Z819" s="84"/>
      <c r="AA819" s="84"/>
      <c r="AB819" s="84"/>
      <c r="AC819" s="84"/>
      <c r="AD819" s="84"/>
    </row>
    <row r="820" spans="2:30" x14ac:dyDescent="0.25">
      <c r="B820" s="93"/>
      <c r="C820" s="84"/>
      <c r="D820" s="84"/>
      <c r="E820" s="87"/>
      <c r="F820" s="87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84"/>
      <c r="R820" s="84"/>
      <c r="S820" s="84"/>
      <c r="T820" s="84"/>
      <c r="U820" s="84"/>
      <c r="V820" s="84"/>
      <c r="W820" s="84"/>
      <c r="X820" s="84"/>
      <c r="Y820" s="84"/>
      <c r="Z820" s="84"/>
      <c r="AA820" s="84"/>
      <c r="AB820" s="84"/>
      <c r="AC820" s="84"/>
      <c r="AD820" s="84"/>
    </row>
    <row r="821" spans="2:30" x14ac:dyDescent="0.25">
      <c r="B821" s="93"/>
      <c r="C821" s="84"/>
      <c r="D821" s="84"/>
      <c r="E821" s="87"/>
      <c r="F821" s="87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84"/>
      <c r="R821" s="84"/>
      <c r="S821" s="84"/>
      <c r="T821" s="84"/>
      <c r="U821" s="84"/>
      <c r="V821" s="84"/>
      <c r="W821" s="84"/>
      <c r="X821" s="84"/>
      <c r="Y821" s="84"/>
      <c r="Z821" s="84"/>
      <c r="AA821" s="84"/>
      <c r="AB821" s="84"/>
      <c r="AC821" s="84"/>
      <c r="AD821" s="84"/>
    </row>
    <row r="822" spans="2:30" x14ac:dyDescent="0.25">
      <c r="B822" s="93"/>
      <c r="C822" s="84"/>
      <c r="D822" s="84"/>
      <c r="E822" s="87"/>
      <c r="F822" s="87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84"/>
      <c r="R822" s="84"/>
      <c r="S822" s="84"/>
      <c r="T822" s="84"/>
      <c r="U822" s="84"/>
      <c r="V822" s="84"/>
      <c r="W822" s="84"/>
      <c r="X822" s="84"/>
      <c r="Y822" s="84"/>
      <c r="Z822" s="84"/>
      <c r="AA822" s="84"/>
      <c r="AB822" s="84"/>
      <c r="AC822" s="84"/>
      <c r="AD822" s="84"/>
    </row>
    <row r="823" spans="2:30" x14ac:dyDescent="0.25">
      <c r="B823" s="93"/>
      <c r="C823" s="84"/>
      <c r="D823" s="84"/>
      <c r="E823" s="87"/>
      <c r="F823" s="87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84"/>
      <c r="R823" s="84"/>
      <c r="S823" s="84"/>
      <c r="T823" s="84"/>
      <c r="U823" s="84"/>
      <c r="V823" s="84"/>
      <c r="W823" s="84"/>
      <c r="X823" s="84"/>
      <c r="Y823" s="84"/>
      <c r="Z823" s="84"/>
      <c r="AA823" s="84"/>
      <c r="AB823" s="84"/>
      <c r="AC823" s="84"/>
      <c r="AD823" s="84"/>
    </row>
    <row r="824" spans="2:30" x14ac:dyDescent="0.25">
      <c r="B824" s="93"/>
      <c r="C824" s="84"/>
      <c r="D824" s="84"/>
      <c r="E824" s="87"/>
      <c r="F824" s="87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84"/>
      <c r="R824" s="84"/>
      <c r="S824" s="84"/>
      <c r="T824" s="84"/>
      <c r="U824" s="84"/>
      <c r="V824" s="84"/>
      <c r="W824" s="84"/>
      <c r="X824" s="84"/>
      <c r="Y824" s="84"/>
      <c r="Z824" s="84"/>
      <c r="AA824" s="84"/>
      <c r="AB824" s="84"/>
      <c r="AC824" s="84"/>
      <c r="AD824" s="84"/>
    </row>
    <row r="825" spans="2:30" x14ac:dyDescent="0.25">
      <c r="B825" s="93"/>
      <c r="C825" s="84"/>
      <c r="D825" s="84"/>
      <c r="E825" s="87"/>
      <c r="F825" s="87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84"/>
      <c r="R825" s="84"/>
      <c r="S825" s="84"/>
      <c r="T825" s="84"/>
      <c r="U825" s="84"/>
      <c r="V825" s="84"/>
      <c r="W825" s="84"/>
      <c r="X825" s="84"/>
      <c r="Y825" s="84"/>
      <c r="Z825" s="84"/>
      <c r="AA825" s="84"/>
      <c r="AB825" s="84"/>
      <c r="AC825" s="84"/>
      <c r="AD825" s="84"/>
    </row>
    <row r="826" spans="2:30" x14ac:dyDescent="0.25">
      <c r="B826" s="93"/>
      <c r="C826" s="84"/>
      <c r="D826" s="84"/>
      <c r="E826" s="87"/>
      <c r="F826" s="87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84"/>
      <c r="R826" s="84"/>
      <c r="S826" s="84"/>
      <c r="T826" s="84"/>
      <c r="U826" s="84"/>
      <c r="V826" s="84"/>
      <c r="W826" s="84"/>
      <c r="X826" s="84"/>
      <c r="Y826" s="84"/>
      <c r="Z826" s="84"/>
      <c r="AA826" s="84"/>
      <c r="AB826" s="84"/>
      <c r="AC826" s="84"/>
      <c r="AD826" s="84"/>
    </row>
    <row r="827" spans="2:30" x14ac:dyDescent="0.25">
      <c r="B827" s="93"/>
      <c r="C827" s="84"/>
      <c r="D827" s="84"/>
      <c r="E827" s="87"/>
      <c r="F827" s="87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84"/>
      <c r="R827" s="84"/>
      <c r="S827" s="84"/>
      <c r="T827" s="84"/>
      <c r="U827" s="84"/>
      <c r="V827" s="84"/>
      <c r="W827" s="84"/>
      <c r="X827" s="84"/>
      <c r="Y827" s="84"/>
      <c r="Z827" s="84"/>
      <c r="AA827" s="84"/>
      <c r="AB827" s="84"/>
      <c r="AC827" s="84"/>
      <c r="AD827" s="84"/>
    </row>
    <row r="828" spans="2:30" x14ac:dyDescent="0.25">
      <c r="B828" s="93"/>
      <c r="C828" s="84"/>
      <c r="D828" s="84"/>
      <c r="E828" s="87"/>
      <c r="F828" s="87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84"/>
      <c r="R828" s="84"/>
      <c r="S828" s="84"/>
      <c r="T828" s="84"/>
      <c r="U828" s="84"/>
      <c r="V828" s="84"/>
      <c r="W828" s="84"/>
      <c r="X828" s="84"/>
      <c r="Y828" s="84"/>
      <c r="Z828" s="84"/>
      <c r="AA828" s="84"/>
      <c r="AB828" s="84"/>
      <c r="AC828" s="84"/>
      <c r="AD828" s="84"/>
    </row>
    <row r="829" spans="2:30" x14ac:dyDescent="0.25">
      <c r="B829" s="93"/>
      <c r="C829" s="84"/>
      <c r="D829" s="84"/>
      <c r="E829" s="87"/>
      <c r="F829" s="87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84"/>
      <c r="R829" s="84"/>
      <c r="S829" s="84"/>
      <c r="T829" s="84"/>
      <c r="U829" s="84"/>
      <c r="V829" s="84"/>
      <c r="W829" s="84"/>
      <c r="X829" s="84"/>
      <c r="Y829" s="84"/>
      <c r="Z829" s="84"/>
      <c r="AA829" s="84"/>
      <c r="AB829" s="84"/>
      <c r="AC829" s="84"/>
      <c r="AD829" s="84"/>
    </row>
    <row r="830" spans="2:30" x14ac:dyDescent="0.25">
      <c r="B830" s="93"/>
      <c r="C830" s="84"/>
      <c r="D830" s="84"/>
      <c r="E830" s="87"/>
      <c r="F830" s="87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84"/>
      <c r="R830" s="84"/>
      <c r="S830" s="84"/>
      <c r="T830" s="84"/>
      <c r="U830" s="84"/>
      <c r="V830" s="84"/>
      <c r="W830" s="84"/>
      <c r="X830" s="84"/>
      <c r="Y830" s="84"/>
      <c r="Z830" s="84"/>
      <c r="AA830" s="84"/>
      <c r="AB830" s="84"/>
      <c r="AC830" s="84"/>
      <c r="AD830" s="84"/>
    </row>
    <row r="831" spans="2:30" x14ac:dyDescent="0.25">
      <c r="B831" s="93"/>
      <c r="C831" s="84"/>
      <c r="D831" s="84"/>
      <c r="E831" s="87"/>
      <c r="F831" s="87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84"/>
      <c r="R831" s="84"/>
      <c r="S831" s="84"/>
      <c r="T831" s="84"/>
      <c r="U831" s="84"/>
      <c r="V831" s="84"/>
      <c r="W831" s="84"/>
      <c r="X831" s="84"/>
      <c r="Y831" s="84"/>
      <c r="Z831" s="84"/>
      <c r="AA831" s="84"/>
      <c r="AB831" s="84"/>
      <c r="AC831" s="84"/>
      <c r="AD831" s="84"/>
    </row>
    <row r="832" spans="2:30" x14ac:dyDescent="0.25">
      <c r="B832" s="93"/>
      <c r="C832" s="84"/>
      <c r="D832" s="84"/>
      <c r="E832" s="87"/>
      <c r="F832" s="87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84"/>
      <c r="R832" s="84"/>
      <c r="S832" s="84"/>
      <c r="T832" s="84"/>
      <c r="U832" s="84"/>
      <c r="V832" s="84"/>
      <c r="W832" s="84"/>
      <c r="X832" s="84"/>
      <c r="Y832" s="84"/>
      <c r="Z832" s="84"/>
      <c r="AA832" s="84"/>
      <c r="AB832" s="84"/>
      <c r="AC832" s="84"/>
      <c r="AD832" s="84"/>
    </row>
    <row r="833" spans="2:30" x14ac:dyDescent="0.25">
      <c r="B833" s="93"/>
      <c r="C833" s="84"/>
      <c r="D833" s="84"/>
      <c r="E833" s="87"/>
      <c r="F833" s="87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84"/>
      <c r="R833" s="84"/>
      <c r="S833" s="84"/>
      <c r="T833" s="84"/>
      <c r="U833" s="84"/>
      <c r="V833" s="84"/>
      <c r="W833" s="84"/>
      <c r="X833" s="84"/>
      <c r="Y833" s="84"/>
      <c r="Z833" s="84"/>
      <c r="AA833" s="84"/>
      <c r="AB833" s="84"/>
      <c r="AC833" s="84"/>
      <c r="AD833" s="84"/>
    </row>
    <row r="834" spans="2:30" x14ac:dyDescent="0.25">
      <c r="B834" s="93"/>
      <c r="C834" s="84"/>
      <c r="D834" s="84"/>
      <c r="E834" s="87"/>
      <c r="F834" s="87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84"/>
      <c r="R834" s="84"/>
      <c r="S834" s="84"/>
      <c r="T834" s="84"/>
      <c r="U834" s="84"/>
      <c r="V834" s="84"/>
      <c r="W834" s="84"/>
      <c r="X834" s="84"/>
      <c r="Y834" s="84"/>
      <c r="Z834" s="84"/>
      <c r="AA834" s="84"/>
      <c r="AB834" s="84"/>
      <c r="AC834" s="84"/>
      <c r="AD834" s="84"/>
    </row>
    <row r="835" spans="2:30" x14ac:dyDescent="0.25">
      <c r="B835" s="93"/>
      <c r="C835" s="84"/>
      <c r="D835" s="84"/>
      <c r="E835" s="87"/>
      <c r="F835" s="87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84"/>
      <c r="R835" s="84"/>
      <c r="S835" s="84"/>
      <c r="T835" s="84"/>
      <c r="U835" s="84"/>
      <c r="V835" s="84"/>
      <c r="W835" s="84"/>
      <c r="X835" s="84"/>
      <c r="Y835" s="84"/>
      <c r="Z835" s="84"/>
      <c r="AA835" s="84"/>
      <c r="AB835" s="84"/>
      <c r="AC835" s="84"/>
      <c r="AD835" s="84"/>
    </row>
    <row r="836" spans="2:30" x14ac:dyDescent="0.25">
      <c r="B836" s="93"/>
      <c r="C836" s="84"/>
      <c r="D836" s="84"/>
      <c r="E836" s="87"/>
      <c r="F836" s="87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84"/>
      <c r="R836" s="84"/>
      <c r="S836" s="84"/>
      <c r="T836" s="84"/>
      <c r="U836" s="84"/>
      <c r="V836" s="84"/>
      <c r="W836" s="84"/>
      <c r="X836" s="84"/>
      <c r="Y836" s="84"/>
      <c r="Z836" s="84"/>
      <c r="AA836" s="84"/>
      <c r="AB836" s="84"/>
      <c r="AC836" s="84"/>
      <c r="AD836" s="84"/>
    </row>
    <row r="837" spans="2:30" x14ac:dyDescent="0.25">
      <c r="B837" s="93"/>
      <c r="C837" s="84"/>
      <c r="D837" s="84"/>
      <c r="E837" s="87"/>
      <c r="F837" s="87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84"/>
      <c r="R837" s="84"/>
      <c r="S837" s="84"/>
      <c r="T837" s="84"/>
      <c r="U837" s="84"/>
      <c r="V837" s="84"/>
      <c r="W837" s="84"/>
      <c r="X837" s="84"/>
      <c r="Y837" s="84"/>
      <c r="Z837" s="84"/>
      <c r="AA837" s="84"/>
      <c r="AB837" s="84"/>
      <c r="AC837" s="84"/>
      <c r="AD837" s="84"/>
    </row>
    <row r="838" spans="2:30" x14ac:dyDescent="0.25">
      <c r="B838" s="93"/>
      <c r="C838" s="84"/>
      <c r="D838" s="84"/>
      <c r="E838" s="87"/>
      <c r="F838" s="87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84"/>
      <c r="R838" s="84"/>
      <c r="S838" s="84"/>
      <c r="T838" s="84"/>
      <c r="U838" s="84"/>
      <c r="V838" s="84"/>
      <c r="W838" s="84"/>
      <c r="X838" s="84"/>
      <c r="Y838" s="84"/>
      <c r="Z838" s="84"/>
      <c r="AA838" s="84"/>
      <c r="AB838" s="84"/>
      <c r="AC838" s="84"/>
      <c r="AD838" s="84"/>
    </row>
    <row r="839" spans="2:30" x14ac:dyDescent="0.25">
      <c r="B839" s="93"/>
      <c r="C839" s="84"/>
      <c r="D839" s="84"/>
      <c r="E839" s="87"/>
      <c r="F839" s="87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84"/>
      <c r="R839" s="84"/>
      <c r="S839" s="84"/>
      <c r="T839" s="84"/>
      <c r="U839" s="84"/>
      <c r="V839" s="84"/>
      <c r="W839" s="84"/>
      <c r="X839" s="84"/>
      <c r="Y839" s="84"/>
      <c r="Z839" s="84"/>
      <c r="AA839" s="84"/>
      <c r="AB839" s="84"/>
      <c r="AC839" s="84"/>
      <c r="AD839" s="84"/>
    </row>
    <row r="840" spans="2:30" x14ac:dyDescent="0.25">
      <c r="B840" s="93"/>
      <c r="C840" s="84"/>
      <c r="D840" s="84"/>
      <c r="E840" s="87"/>
      <c r="F840" s="87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84"/>
      <c r="R840" s="84"/>
      <c r="S840" s="84"/>
      <c r="T840" s="84"/>
      <c r="U840" s="84"/>
      <c r="V840" s="84"/>
      <c r="W840" s="84"/>
      <c r="X840" s="84"/>
      <c r="Y840" s="84"/>
      <c r="Z840" s="84"/>
      <c r="AA840" s="84"/>
      <c r="AB840" s="84"/>
      <c r="AC840" s="84"/>
      <c r="AD840" s="84"/>
    </row>
    <row r="841" spans="2:30" x14ac:dyDescent="0.25">
      <c r="B841" s="93"/>
      <c r="C841" s="84"/>
      <c r="D841" s="84"/>
      <c r="E841" s="87"/>
      <c r="F841" s="87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84"/>
      <c r="R841" s="84"/>
      <c r="S841" s="84"/>
      <c r="T841" s="84"/>
      <c r="U841" s="84"/>
      <c r="V841" s="84"/>
      <c r="W841" s="84"/>
      <c r="X841" s="84"/>
      <c r="Y841" s="84"/>
      <c r="Z841" s="84"/>
      <c r="AA841" s="84"/>
      <c r="AB841" s="84"/>
      <c r="AC841" s="84"/>
      <c r="AD841" s="84"/>
    </row>
    <row r="842" spans="2:30" x14ac:dyDescent="0.25">
      <c r="B842" s="93"/>
      <c r="C842" s="84"/>
      <c r="D842" s="84"/>
      <c r="E842" s="87"/>
      <c r="F842" s="87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4"/>
      <c r="U842" s="84"/>
      <c r="V842" s="84"/>
      <c r="W842" s="84"/>
      <c r="X842" s="84"/>
      <c r="Y842" s="84"/>
      <c r="Z842" s="84"/>
      <c r="AA842" s="84"/>
      <c r="AB842" s="84"/>
      <c r="AC842" s="84"/>
      <c r="AD842" s="84"/>
    </row>
    <row r="843" spans="2:30" x14ac:dyDescent="0.25">
      <c r="B843" s="93"/>
      <c r="C843" s="84"/>
      <c r="D843" s="84"/>
      <c r="E843" s="87"/>
      <c r="F843" s="87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84"/>
      <c r="R843" s="84"/>
      <c r="S843" s="84"/>
      <c r="T843" s="84"/>
      <c r="U843" s="84"/>
      <c r="V843" s="84"/>
      <c r="W843" s="84"/>
      <c r="X843" s="84"/>
      <c r="Y843" s="84"/>
      <c r="Z843" s="84"/>
      <c r="AA843" s="84"/>
      <c r="AB843" s="84"/>
      <c r="AC843" s="84"/>
      <c r="AD843" s="84"/>
    </row>
    <row r="844" spans="2:30" x14ac:dyDescent="0.25">
      <c r="B844" s="93"/>
      <c r="C844" s="84"/>
      <c r="D844" s="84"/>
      <c r="E844" s="87"/>
      <c r="F844" s="87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84"/>
      <c r="R844" s="84"/>
      <c r="S844" s="84"/>
      <c r="T844" s="84"/>
      <c r="U844" s="84"/>
      <c r="V844" s="84"/>
      <c r="W844" s="84"/>
      <c r="X844" s="84"/>
      <c r="Y844" s="84"/>
      <c r="Z844" s="84"/>
      <c r="AA844" s="84"/>
      <c r="AB844" s="84"/>
      <c r="AC844" s="84"/>
      <c r="AD844" s="84"/>
    </row>
    <row r="845" spans="2:30" x14ac:dyDescent="0.25">
      <c r="B845" s="93"/>
      <c r="C845" s="84"/>
      <c r="D845" s="84"/>
      <c r="E845" s="87"/>
      <c r="F845" s="87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84"/>
      <c r="R845" s="84"/>
      <c r="S845" s="84"/>
      <c r="T845" s="84"/>
      <c r="U845" s="84"/>
      <c r="V845" s="84"/>
      <c r="W845" s="84"/>
      <c r="X845" s="84"/>
      <c r="Y845" s="84"/>
      <c r="Z845" s="84"/>
      <c r="AA845" s="84"/>
      <c r="AB845" s="84"/>
      <c r="AC845" s="84"/>
      <c r="AD845" s="84"/>
    </row>
    <row r="846" spans="2:30" x14ac:dyDescent="0.25">
      <c r="B846" s="93"/>
      <c r="C846" s="84"/>
      <c r="D846" s="84"/>
      <c r="E846" s="87"/>
      <c r="F846" s="87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84"/>
      <c r="R846" s="84"/>
      <c r="S846" s="84"/>
      <c r="T846" s="84"/>
      <c r="U846" s="84"/>
      <c r="V846" s="84"/>
      <c r="W846" s="84"/>
      <c r="X846" s="84"/>
      <c r="Y846" s="84"/>
      <c r="Z846" s="84"/>
      <c r="AA846" s="84"/>
      <c r="AB846" s="84"/>
      <c r="AC846" s="84"/>
      <c r="AD846" s="84"/>
    </row>
    <row r="847" spans="2:30" x14ac:dyDescent="0.25">
      <c r="B847" s="93"/>
      <c r="C847" s="84"/>
      <c r="D847" s="84"/>
      <c r="E847" s="87"/>
      <c r="F847" s="87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84"/>
      <c r="R847" s="84"/>
      <c r="S847" s="84"/>
      <c r="T847" s="84"/>
      <c r="U847" s="84"/>
      <c r="V847" s="84"/>
      <c r="W847" s="84"/>
      <c r="X847" s="84"/>
      <c r="Y847" s="84"/>
      <c r="Z847" s="84"/>
      <c r="AA847" s="84"/>
      <c r="AB847" s="84"/>
      <c r="AC847" s="84"/>
      <c r="AD847" s="84"/>
    </row>
    <row r="848" spans="2:30" x14ac:dyDescent="0.25">
      <c r="B848" s="93"/>
      <c r="C848" s="84"/>
      <c r="D848" s="84"/>
      <c r="E848" s="87"/>
      <c r="F848" s="87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84"/>
      <c r="R848" s="84"/>
      <c r="S848" s="84"/>
      <c r="T848" s="84"/>
      <c r="U848" s="84"/>
      <c r="V848" s="84"/>
      <c r="W848" s="84"/>
      <c r="X848" s="84"/>
      <c r="Y848" s="84"/>
      <c r="Z848" s="84"/>
      <c r="AA848" s="84"/>
      <c r="AB848" s="84"/>
      <c r="AC848" s="84"/>
      <c r="AD848" s="84"/>
    </row>
    <row r="849" spans="2:30" x14ac:dyDescent="0.25">
      <c r="B849" s="93"/>
      <c r="C849" s="84"/>
      <c r="D849" s="84"/>
      <c r="E849" s="87"/>
      <c r="F849" s="87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84"/>
      <c r="R849" s="84"/>
      <c r="S849" s="84"/>
      <c r="T849" s="84"/>
      <c r="U849" s="84"/>
      <c r="V849" s="84"/>
      <c r="W849" s="84"/>
      <c r="X849" s="84"/>
      <c r="Y849" s="84"/>
      <c r="Z849" s="84"/>
      <c r="AA849" s="84"/>
      <c r="AB849" s="84"/>
      <c r="AC849" s="84"/>
      <c r="AD849" s="84"/>
    </row>
    <row r="850" spans="2:30" x14ac:dyDescent="0.25">
      <c r="B850" s="93"/>
      <c r="C850" s="84"/>
      <c r="D850" s="84"/>
      <c r="E850" s="87"/>
      <c r="F850" s="87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84"/>
      <c r="R850" s="84"/>
      <c r="S850" s="84"/>
      <c r="T850" s="84"/>
      <c r="U850" s="84"/>
      <c r="V850" s="84"/>
      <c r="W850" s="84"/>
      <c r="X850" s="84"/>
      <c r="Y850" s="84"/>
      <c r="Z850" s="84"/>
      <c r="AA850" s="84"/>
      <c r="AB850" s="84"/>
      <c r="AC850" s="84"/>
      <c r="AD850" s="84"/>
    </row>
    <row r="851" spans="2:30" x14ac:dyDescent="0.25">
      <c r="B851" s="93"/>
      <c r="C851" s="84"/>
      <c r="D851" s="84"/>
      <c r="E851" s="87"/>
      <c r="F851" s="87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84"/>
      <c r="R851" s="84"/>
      <c r="S851" s="84"/>
      <c r="T851" s="84"/>
      <c r="U851" s="84"/>
      <c r="V851" s="84"/>
      <c r="W851" s="84"/>
      <c r="X851" s="84"/>
      <c r="Y851" s="84"/>
      <c r="Z851" s="84"/>
      <c r="AA851" s="84"/>
      <c r="AB851" s="84"/>
      <c r="AC851" s="84"/>
      <c r="AD851" s="84"/>
    </row>
    <row r="852" spans="2:30" x14ac:dyDescent="0.25">
      <c r="B852" s="93"/>
      <c r="C852" s="84"/>
      <c r="D852" s="84"/>
      <c r="E852" s="87"/>
      <c r="F852" s="87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84"/>
      <c r="R852" s="84"/>
      <c r="S852" s="84"/>
      <c r="T852" s="84"/>
      <c r="U852" s="84"/>
      <c r="V852" s="84"/>
      <c r="W852" s="84"/>
      <c r="X852" s="84"/>
      <c r="Y852" s="84"/>
      <c r="Z852" s="84"/>
      <c r="AA852" s="84"/>
      <c r="AB852" s="84"/>
      <c r="AC852" s="84"/>
      <c r="AD852" s="84"/>
    </row>
    <row r="853" spans="2:30" x14ac:dyDescent="0.25">
      <c r="B853" s="93"/>
      <c r="C853" s="84"/>
      <c r="D853" s="84"/>
      <c r="E853" s="87"/>
      <c r="F853" s="87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84"/>
      <c r="R853" s="84"/>
      <c r="S853" s="84"/>
      <c r="T853" s="84"/>
      <c r="U853" s="84"/>
      <c r="V853" s="84"/>
      <c r="W853" s="84"/>
      <c r="X853" s="84"/>
      <c r="Y853" s="84"/>
      <c r="Z853" s="84"/>
      <c r="AA853" s="84"/>
      <c r="AB853" s="84"/>
      <c r="AC853" s="84"/>
      <c r="AD853" s="84"/>
    </row>
    <row r="854" spans="2:30" x14ac:dyDescent="0.25">
      <c r="B854" s="93"/>
      <c r="C854" s="84"/>
      <c r="D854" s="84"/>
      <c r="E854" s="87"/>
      <c r="F854" s="87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84"/>
      <c r="R854" s="84"/>
      <c r="S854" s="84"/>
      <c r="T854" s="84"/>
      <c r="U854" s="84"/>
      <c r="V854" s="84"/>
      <c r="W854" s="84"/>
      <c r="X854" s="84"/>
      <c r="Y854" s="84"/>
      <c r="Z854" s="84"/>
      <c r="AA854" s="84"/>
      <c r="AB854" s="84"/>
      <c r="AC854" s="84"/>
      <c r="AD854" s="84"/>
    </row>
    <row r="855" spans="2:30" x14ac:dyDescent="0.25">
      <c r="B855" s="93"/>
      <c r="C855" s="84"/>
      <c r="D855" s="84"/>
      <c r="E855" s="87"/>
      <c r="F855" s="87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84"/>
      <c r="R855" s="84"/>
      <c r="S855" s="84"/>
      <c r="T855" s="84"/>
      <c r="U855" s="84"/>
      <c r="V855" s="84"/>
      <c r="W855" s="84"/>
      <c r="X855" s="84"/>
      <c r="Y855" s="84"/>
      <c r="Z855" s="84"/>
      <c r="AA855" s="84"/>
      <c r="AB855" s="84"/>
      <c r="AC855" s="84"/>
      <c r="AD855" s="84"/>
    </row>
    <row r="856" spans="2:30" x14ac:dyDescent="0.25">
      <c r="B856" s="93"/>
      <c r="C856" s="84"/>
      <c r="D856" s="84"/>
      <c r="E856" s="87"/>
      <c r="F856" s="87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84"/>
      <c r="R856" s="84"/>
      <c r="S856" s="84"/>
      <c r="T856" s="84"/>
      <c r="U856" s="84"/>
      <c r="V856" s="84"/>
      <c r="W856" s="84"/>
      <c r="X856" s="84"/>
      <c r="Y856" s="84"/>
      <c r="Z856" s="84"/>
      <c r="AA856" s="84"/>
      <c r="AB856" s="84"/>
      <c r="AC856" s="84"/>
      <c r="AD856" s="84"/>
    </row>
    <row r="857" spans="2:30" x14ac:dyDescent="0.25">
      <c r="B857" s="93"/>
      <c r="C857" s="84"/>
      <c r="D857" s="84"/>
      <c r="E857" s="87"/>
      <c r="F857" s="87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  <c r="U857" s="84"/>
      <c r="V857" s="84"/>
      <c r="W857" s="84"/>
      <c r="X857" s="84"/>
      <c r="Y857" s="84"/>
      <c r="Z857" s="84"/>
      <c r="AA857" s="84"/>
      <c r="AB857" s="84"/>
      <c r="AC857" s="84"/>
      <c r="AD857" s="84"/>
    </row>
    <row r="858" spans="2:30" x14ac:dyDescent="0.25">
      <c r="B858" s="93"/>
      <c r="C858" s="84"/>
      <c r="D858" s="84"/>
      <c r="E858" s="87"/>
      <c r="F858" s="87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84"/>
      <c r="R858" s="84"/>
      <c r="S858" s="84"/>
      <c r="T858" s="84"/>
      <c r="U858" s="84"/>
      <c r="V858" s="84"/>
      <c r="W858" s="84"/>
      <c r="X858" s="84"/>
      <c r="Y858" s="84"/>
      <c r="Z858" s="84"/>
      <c r="AA858" s="84"/>
      <c r="AB858" s="84"/>
      <c r="AC858" s="84"/>
      <c r="AD858" s="84"/>
    </row>
    <row r="859" spans="2:30" x14ac:dyDescent="0.25">
      <c r="B859" s="93"/>
      <c r="C859" s="84"/>
      <c r="D859" s="84"/>
      <c r="E859" s="87"/>
      <c r="F859" s="87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84"/>
      <c r="R859" s="84"/>
      <c r="S859" s="84"/>
      <c r="T859" s="84"/>
      <c r="U859" s="84"/>
      <c r="V859" s="84"/>
      <c r="W859" s="84"/>
      <c r="X859" s="84"/>
      <c r="Y859" s="84"/>
      <c r="Z859" s="84"/>
      <c r="AA859" s="84"/>
      <c r="AB859" s="84"/>
      <c r="AC859" s="84"/>
      <c r="AD859" s="84"/>
    </row>
    <row r="860" spans="2:30" x14ac:dyDescent="0.25">
      <c r="B860" s="93"/>
      <c r="C860" s="84"/>
      <c r="D860" s="84"/>
      <c r="E860" s="87"/>
      <c r="F860" s="87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84"/>
      <c r="R860" s="84"/>
      <c r="S860" s="84"/>
      <c r="T860" s="84"/>
      <c r="U860" s="84"/>
      <c r="V860" s="84"/>
      <c r="W860" s="84"/>
      <c r="X860" s="84"/>
      <c r="Y860" s="84"/>
      <c r="Z860" s="84"/>
      <c r="AA860" s="84"/>
      <c r="AB860" s="84"/>
      <c r="AC860" s="84"/>
      <c r="AD860" s="84"/>
    </row>
    <row r="861" spans="2:30" x14ac:dyDescent="0.25">
      <c r="B861" s="93"/>
      <c r="C861" s="84"/>
      <c r="D861" s="84"/>
      <c r="E861" s="87"/>
      <c r="F861" s="87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84"/>
      <c r="R861" s="84"/>
      <c r="S861" s="84"/>
      <c r="T861" s="84"/>
      <c r="U861" s="84"/>
      <c r="V861" s="84"/>
      <c r="W861" s="84"/>
      <c r="X861" s="84"/>
      <c r="Y861" s="84"/>
      <c r="Z861" s="84"/>
      <c r="AA861" s="84"/>
      <c r="AB861" s="84"/>
      <c r="AC861" s="84"/>
      <c r="AD861" s="84"/>
    </row>
    <row r="862" spans="2:30" x14ac:dyDescent="0.25">
      <c r="B862" s="93"/>
      <c r="C862" s="84"/>
      <c r="D862" s="84"/>
      <c r="E862" s="87"/>
      <c r="F862" s="87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84"/>
      <c r="R862" s="84"/>
      <c r="S862" s="84"/>
      <c r="T862" s="84"/>
      <c r="U862" s="84"/>
      <c r="V862" s="84"/>
      <c r="W862" s="84"/>
      <c r="X862" s="84"/>
      <c r="Y862" s="84"/>
      <c r="Z862" s="84"/>
      <c r="AA862" s="84"/>
      <c r="AB862" s="84"/>
      <c r="AC862" s="84"/>
      <c r="AD862" s="84"/>
    </row>
    <row r="863" spans="2:30" x14ac:dyDescent="0.25">
      <c r="B863" s="93"/>
      <c r="C863" s="84"/>
      <c r="D863" s="84"/>
      <c r="E863" s="87"/>
      <c r="F863" s="87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84"/>
      <c r="R863" s="84"/>
      <c r="S863" s="84"/>
      <c r="T863" s="84"/>
      <c r="U863" s="84"/>
      <c r="V863" s="84"/>
      <c r="W863" s="84"/>
      <c r="X863" s="84"/>
      <c r="Y863" s="84"/>
      <c r="Z863" s="84"/>
      <c r="AA863" s="84"/>
      <c r="AB863" s="84"/>
      <c r="AC863" s="84"/>
      <c r="AD863" s="84"/>
    </row>
    <row r="864" spans="2:30" x14ac:dyDescent="0.25">
      <c r="B864" s="93"/>
      <c r="C864" s="84"/>
      <c r="D864" s="84"/>
      <c r="E864" s="87"/>
      <c r="F864" s="87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84"/>
      <c r="R864" s="84"/>
      <c r="S864" s="84"/>
      <c r="T864" s="84"/>
      <c r="U864" s="84"/>
      <c r="V864" s="84"/>
      <c r="W864" s="84"/>
      <c r="X864" s="84"/>
      <c r="Y864" s="84"/>
      <c r="Z864" s="84"/>
      <c r="AA864" s="84"/>
      <c r="AB864" s="84"/>
      <c r="AC864" s="84"/>
      <c r="AD864" s="84"/>
    </row>
    <row r="865" spans="2:30" x14ac:dyDescent="0.25">
      <c r="B865" s="93"/>
      <c r="C865" s="84"/>
      <c r="D865" s="84"/>
      <c r="E865" s="87"/>
      <c r="F865" s="87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84"/>
      <c r="R865" s="84"/>
      <c r="S865" s="84"/>
      <c r="T865" s="84"/>
      <c r="U865" s="84"/>
      <c r="V865" s="84"/>
      <c r="W865" s="84"/>
      <c r="X865" s="84"/>
      <c r="Y865" s="84"/>
      <c r="Z865" s="84"/>
      <c r="AA865" s="84"/>
      <c r="AB865" s="84"/>
      <c r="AC865" s="84"/>
      <c r="AD865" s="84"/>
    </row>
    <row r="866" spans="2:30" x14ac:dyDescent="0.25">
      <c r="B866" s="93"/>
      <c r="C866" s="84"/>
      <c r="D866" s="84"/>
      <c r="E866" s="87"/>
      <c r="F866" s="87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84"/>
      <c r="R866" s="84"/>
      <c r="S866" s="84"/>
      <c r="T866" s="84"/>
      <c r="U866" s="84"/>
      <c r="V866" s="84"/>
      <c r="W866" s="84"/>
      <c r="X866" s="84"/>
      <c r="Y866" s="84"/>
      <c r="Z866" s="84"/>
      <c r="AA866" s="84"/>
      <c r="AB866" s="84"/>
      <c r="AC866" s="84"/>
      <c r="AD866" s="84"/>
    </row>
    <row r="867" spans="2:30" x14ac:dyDescent="0.25">
      <c r="B867" s="93"/>
      <c r="C867" s="84"/>
      <c r="D867" s="84"/>
      <c r="E867" s="87"/>
      <c r="F867" s="87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84"/>
      <c r="R867" s="84"/>
      <c r="S867" s="84"/>
      <c r="T867" s="84"/>
      <c r="U867" s="84"/>
      <c r="V867" s="84"/>
      <c r="W867" s="84"/>
      <c r="X867" s="84"/>
      <c r="Y867" s="84"/>
      <c r="Z867" s="84"/>
      <c r="AA867" s="84"/>
      <c r="AB867" s="84"/>
      <c r="AC867" s="84"/>
      <c r="AD867" s="84"/>
    </row>
    <row r="868" spans="2:30" x14ac:dyDescent="0.25">
      <c r="B868" s="93"/>
      <c r="C868" s="84"/>
      <c r="D868" s="84"/>
      <c r="E868" s="87"/>
      <c r="F868" s="87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84"/>
      <c r="R868" s="84"/>
      <c r="S868" s="84"/>
      <c r="T868" s="84"/>
      <c r="U868" s="84"/>
      <c r="V868" s="84"/>
      <c r="W868" s="84"/>
      <c r="X868" s="84"/>
      <c r="Y868" s="84"/>
      <c r="Z868" s="84"/>
      <c r="AA868" s="84"/>
      <c r="AB868" s="84"/>
      <c r="AC868" s="84"/>
      <c r="AD868" s="84"/>
    </row>
    <row r="869" spans="2:30" x14ac:dyDescent="0.25">
      <c r="B869" s="93"/>
      <c r="C869" s="84"/>
      <c r="D869" s="84"/>
      <c r="E869" s="87"/>
      <c r="F869" s="87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84"/>
      <c r="R869" s="84"/>
      <c r="S869" s="84"/>
      <c r="T869" s="84"/>
      <c r="U869" s="84"/>
      <c r="V869" s="84"/>
      <c r="W869" s="84"/>
      <c r="X869" s="84"/>
      <c r="Y869" s="84"/>
      <c r="Z869" s="84"/>
      <c r="AA869" s="84"/>
      <c r="AB869" s="84"/>
      <c r="AC869" s="84"/>
      <c r="AD869" s="84"/>
    </row>
    <row r="870" spans="2:30" x14ac:dyDescent="0.25">
      <c r="B870" s="93"/>
      <c r="C870" s="84"/>
      <c r="D870" s="84"/>
      <c r="E870" s="87"/>
      <c r="F870" s="87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84"/>
      <c r="R870" s="84"/>
      <c r="S870" s="84"/>
      <c r="T870" s="84"/>
      <c r="U870" s="84"/>
      <c r="V870" s="84"/>
      <c r="W870" s="84"/>
      <c r="X870" s="84"/>
      <c r="Y870" s="84"/>
      <c r="Z870" s="84"/>
      <c r="AA870" s="84"/>
      <c r="AB870" s="84"/>
      <c r="AC870" s="84"/>
      <c r="AD870" s="84"/>
    </row>
    <row r="871" spans="2:30" x14ac:dyDescent="0.25">
      <c r="B871" s="93"/>
      <c r="C871" s="84"/>
      <c r="D871" s="84"/>
      <c r="E871" s="87"/>
      <c r="F871" s="87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84"/>
      <c r="R871" s="84"/>
      <c r="S871" s="84"/>
      <c r="T871" s="84"/>
      <c r="U871" s="84"/>
      <c r="V871" s="84"/>
      <c r="W871" s="84"/>
      <c r="X871" s="84"/>
      <c r="Y871" s="84"/>
      <c r="Z871" s="84"/>
      <c r="AA871" s="84"/>
      <c r="AB871" s="84"/>
      <c r="AC871" s="84"/>
      <c r="AD871" s="84"/>
    </row>
    <row r="872" spans="2:30" x14ac:dyDescent="0.25">
      <c r="B872" s="93"/>
      <c r="C872" s="84"/>
      <c r="D872" s="84"/>
      <c r="E872" s="87"/>
      <c r="F872" s="87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84"/>
      <c r="R872" s="84"/>
      <c r="S872" s="84"/>
      <c r="T872" s="84"/>
      <c r="U872" s="84"/>
      <c r="V872" s="84"/>
      <c r="W872" s="84"/>
      <c r="X872" s="84"/>
      <c r="Y872" s="84"/>
      <c r="Z872" s="84"/>
      <c r="AA872" s="84"/>
      <c r="AB872" s="84"/>
      <c r="AC872" s="84"/>
      <c r="AD872" s="84"/>
    </row>
    <row r="873" spans="2:30" x14ac:dyDescent="0.25">
      <c r="B873" s="93"/>
      <c r="C873" s="84"/>
      <c r="D873" s="84"/>
      <c r="E873" s="87"/>
      <c r="F873" s="87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84"/>
      <c r="R873" s="84"/>
      <c r="S873" s="84"/>
      <c r="T873" s="84"/>
      <c r="U873" s="84"/>
      <c r="V873" s="84"/>
      <c r="W873" s="84"/>
      <c r="X873" s="84"/>
      <c r="Y873" s="84"/>
      <c r="Z873" s="84"/>
      <c r="AA873" s="84"/>
      <c r="AB873" s="84"/>
      <c r="AC873" s="84"/>
      <c r="AD873" s="84"/>
    </row>
    <row r="874" spans="2:30" x14ac:dyDescent="0.25">
      <c r="B874" s="93"/>
      <c r="C874" s="84"/>
      <c r="D874" s="84"/>
      <c r="E874" s="87"/>
      <c r="F874" s="87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84"/>
      <c r="R874" s="84"/>
      <c r="S874" s="84"/>
      <c r="T874" s="84"/>
      <c r="U874" s="84"/>
      <c r="V874" s="84"/>
      <c r="W874" s="84"/>
      <c r="X874" s="84"/>
      <c r="Y874" s="84"/>
      <c r="Z874" s="84"/>
      <c r="AA874" s="84"/>
      <c r="AB874" s="84"/>
      <c r="AC874" s="84"/>
      <c r="AD874" s="84"/>
    </row>
    <row r="875" spans="2:30" x14ac:dyDescent="0.25">
      <c r="B875" s="93"/>
      <c r="C875" s="84"/>
      <c r="D875" s="84"/>
      <c r="E875" s="87"/>
      <c r="F875" s="87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84"/>
      <c r="R875" s="84"/>
      <c r="S875" s="84"/>
      <c r="T875" s="84"/>
      <c r="U875" s="84"/>
      <c r="V875" s="84"/>
      <c r="W875" s="84"/>
      <c r="X875" s="84"/>
      <c r="Y875" s="84"/>
      <c r="Z875" s="84"/>
      <c r="AA875" s="84"/>
      <c r="AB875" s="84"/>
      <c r="AC875" s="84"/>
      <c r="AD875" s="84"/>
    </row>
    <row r="876" spans="2:30" x14ac:dyDescent="0.25">
      <c r="B876" s="93"/>
      <c r="C876" s="84"/>
      <c r="D876" s="84"/>
      <c r="E876" s="87"/>
      <c r="F876" s="87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84"/>
      <c r="R876" s="84"/>
      <c r="S876" s="84"/>
      <c r="T876" s="84"/>
      <c r="U876" s="84"/>
      <c r="V876" s="84"/>
      <c r="W876" s="84"/>
      <c r="X876" s="84"/>
      <c r="Y876" s="84"/>
      <c r="Z876" s="84"/>
      <c r="AA876" s="84"/>
      <c r="AB876" s="84"/>
      <c r="AC876" s="84"/>
      <c r="AD876" s="84"/>
    </row>
    <row r="877" spans="2:30" x14ac:dyDescent="0.25">
      <c r="B877" s="93"/>
      <c r="C877" s="84"/>
      <c r="D877" s="84"/>
      <c r="E877" s="87"/>
      <c r="F877" s="87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84"/>
      <c r="R877" s="84"/>
      <c r="S877" s="84"/>
      <c r="T877" s="84"/>
      <c r="U877" s="84"/>
      <c r="V877" s="84"/>
      <c r="W877" s="84"/>
      <c r="X877" s="84"/>
      <c r="Y877" s="84"/>
      <c r="Z877" s="84"/>
      <c r="AA877" s="84"/>
      <c r="AB877" s="84"/>
      <c r="AC877" s="84"/>
      <c r="AD877" s="84"/>
    </row>
    <row r="878" spans="2:30" x14ac:dyDescent="0.25">
      <c r="B878" s="93"/>
      <c r="C878" s="84"/>
      <c r="D878" s="84"/>
      <c r="E878" s="87"/>
      <c r="F878" s="87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84"/>
      <c r="R878" s="84"/>
      <c r="S878" s="84"/>
      <c r="T878" s="84"/>
      <c r="U878" s="84"/>
      <c r="V878" s="84"/>
      <c r="W878" s="84"/>
      <c r="X878" s="84"/>
      <c r="Y878" s="84"/>
      <c r="Z878" s="84"/>
      <c r="AA878" s="84"/>
      <c r="AB878" s="84"/>
      <c r="AC878" s="84"/>
      <c r="AD878" s="84"/>
    </row>
    <row r="879" spans="2:30" x14ac:dyDescent="0.25">
      <c r="B879" s="93"/>
      <c r="C879" s="84"/>
      <c r="D879" s="84"/>
      <c r="E879" s="87"/>
      <c r="F879" s="87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84"/>
      <c r="R879" s="84"/>
      <c r="S879" s="84"/>
      <c r="T879" s="84"/>
      <c r="U879" s="84"/>
      <c r="V879" s="84"/>
      <c r="W879" s="84"/>
      <c r="X879" s="84"/>
      <c r="Y879" s="84"/>
      <c r="Z879" s="84"/>
      <c r="AA879" s="84"/>
      <c r="AB879" s="84"/>
      <c r="AC879" s="84"/>
      <c r="AD879" s="84"/>
    </row>
    <row r="880" spans="2:30" x14ac:dyDescent="0.25">
      <c r="B880" s="93"/>
      <c r="C880" s="84"/>
      <c r="D880" s="84"/>
      <c r="E880" s="87"/>
      <c r="F880" s="87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84"/>
      <c r="R880" s="84"/>
      <c r="S880" s="84"/>
      <c r="T880" s="84"/>
      <c r="U880" s="84"/>
      <c r="V880" s="84"/>
      <c r="W880" s="84"/>
      <c r="X880" s="84"/>
      <c r="Y880" s="84"/>
      <c r="Z880" s="84"/>
      <c r="AA880" s="84"/>
      <c r="AB880" s="84"/>
      <c r="AC880" s="84"/>
      <c r="AD880" s="84"/>
    </row>
    <row r="881" spans="2:30" x14ac:dyDescent="0.25">
      <c r="B881" s="93"/>
      <c r="C881" s="84"/>
      <c r="D881" s="84"/>
      <c r="E881" s="87"/>
      <c r="F881" s="87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84"/>
      <c r="R881" s="84"/>
      <c r="S881" s="84"/>
      <c r="T881" s="84"/>
      <c r="U881" s="84"/>
      <c r="V881" s="84"/>
      <c r="W881" s="84"/>
      <c r="X881" s="84"/>
      <c r="Y881" s="84"/>
      <c r="Z881" s="84"/>
      <c r="AA881" s="84"/>
      <c r="AB881" s="84"/>
      <c r="AC881" s="84"/>
      <c r="AD881" s="84"/>
    </row>
    <row r="882" spans="2:30" x14ac:dyDescent="0.25">
      <c r="B882" s="93"/>
      <c r="C882" s="84"/>
      <c r="D882" s="84"/>
      <c r="E882" s="87"/>
      <c r="F882" s="87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84"/>
      <c r="R882" s="84"/>
      <c r="S882" s="84"/>
      <c r="T882" s="84"/>
      <c r="U882" s="84"/>
      <c r="V882" s="84"/>
      <c r="W882" s="84"/>
      <c r="X882" s="84"/>
      <c r="Y882" s="84"/>
      <c r="Z882" s="84"/>
      <c r="AA882" s="84"/>
      <c r="AB882" s="84"/>
      <c r="AC882" s="84"/>
      <c r="AD882" s="84"/>
    </row>
    <row r="883" spans="2:30" x14ac:dyDescent="0.25">
      <c r="B883" s="93"/>
      <c r="C883" s="84"/>
      <c r="D883" s="84"/>
      <c r="E883" s="87"/>
      <c r="F883" s="87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84"/>
      <c r="R883" s="84"/>
      <c r="S883" s="84"/>
      <c r="T883" s="84"/>
      <c r="U883" s="84"/>
      <c r="V883" s="84"/>
      <c r="W883" s="84"/>
      <c r="X883" s="84"/>
      <c r="Y883" s="84"/>
      <c r="Z883" s="84"/>
      <c r="AA883" s="84"/>
      <c r="AB883" s="84"/>
      <c r="AC883" s="84"/>
      <c r="AD883" s="84"/>
    </row>
    <row r="884" spans="2:30" x14ac:dyDescent="0.25">
      <c r="B884" s="93"/>
      <c r="C884" s="84"/>
      <c r="D884" s="84"/>
      <c r="E884" s="87"/>
      <c r="F884" s="87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84"/>
      <c r="R884" s="84"/>
      <c r="S884" s="84"/>
      <c r="T884" s="84"/>
      <c r="U884" s="84"/>
      <c r="V884" s="84"/>
      <c r="W884" s="84"/>
      <c r="X884" s="84"/>
      <c r="Y884" s="84"/>
      <c r="Z884" s="84"/>
      <c r="AA884" s="84"/>
      <c r="AB884" s="84"/>
      <c r="AC884" s="84"/>
      <c r="AD884" s="84"/>
    </row>
    <row r="885" spans="2:30" x14ac:dyDescent="0.25">
      <c r="B885" s="93"/>
      <c r="C885" s="84"/>
      <c r="D885" s="84"/>
      <c r="E885" s="87"/>
      <c r="F885" s="87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84"/>
      <c r="R885" s="84"/>
      <c r="S885" s="84"/>
      <c r="T885" s="84"/>
      <c r="U885" s="84"/>
      <c r="V885" s="84"/>
      <c r="W885" s="84"/>
      <c r="X885" s="84"/>
      <c r="Y885" s="84"/>
      <c r="Z885" s="84"/>
      <c r="AA885" s="84"/>
      <c r="AB885" s="84"/>
      <c r="AC885" s="84"/>
      <c r="AD885" s="84"/>
    </row>
    <row r="886" spans="2:30" x14ac:dyDescent="0.25">
      <c r="B886" s="93"/>
      <c r="C886" s="84"/>
      <c r="D886" s="84"/>
      <c r="E886" s="87"/>
      <c r="F886" s="87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84"/>
      <c r="R886" s="84"/>
      <c r="S886" s="84"/>
      <c r="T886" s="84"/>
      <c r="U886" s="84"/>
      <c r="V886" s="84"/>
      <c r="W886" s="84"/>
      <c r="X886" s="84"/>
      <c r="Y886" s="84"/>
      <c r="Z886" s="84"/>
      <c r="AA886" s="84"/>
      <c r="AB886" s="84"/>
      <c r="AC886" s="84"/>
      <c r="AD886" s="84"/>
    </row>
    <row r="887" spans="2:30" x14ac:dyDescent="0.25">
      <c r="B887" s="93"/>
      <c r="C887" s="84"/>
      <c r="D887" s="84"/>
      <c r="E887" s="87"/>
      <c r="F887" s="87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84"/>
      <c r="R887" s="84"/>
      <c r="S887" s="84"/>
      <c r="T887" s="84"/>
      <c r="U887" s="84"/>
      <c r="V887" s="84"/>
      <c r="W887" s="84"/>
      <c r="X887" s="84"/>
      <c r="Y887" s="84"/>
      <c r="Z887" s="84"/>
      <c r="AA887" s="84"/>
      <c r="AB887" s="84"/>
      <c r="AC887" s="84"/>
      <c r="AD887" s="84"/>
    </row>
    <row r="888" spans="2:30" x14ac:dyDescent="0.25">
      <c r="B888" s="93"/>
      <c r="C888" s="84"/>
      <c r="D888" s="84"/>
      <c r="E888" s="87"/>
      <c r="F888" s="87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84"/>
      <c r="R888" s="84"/>
      <c r="S888" s="84"/>
      <c r="T888" s="84"/>
      <c r="U888" s="84"/>
      <c r="V888" s="84"/>
      <c r="W888" s="84"/>
      <c r="X888" s="84"/>
      <c r="Y888" s="84"/>
      <c r="Z888" s="84"/>
      <c r="AA888" s="84"/>
      <c r="AB888" s="84"/>
      <c r="AC888" s="84"/>
      <c r="AD888" s="84"/>
    </row>
    <row r="889" spans="2:30" x14ac:dyDescent="0.25">
      <c r="B889" s="93"/>
      <c r="C889" s="84"/>
      <c r="D889" s="84"/>
      <c r="E889" s="87"/>
      <c r="F889" s="87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4"/>
      <c r="U889" s="84"/>
      <c r="V889" s="84"/>
      <c r="W889" s="84"/>
      <c r="X889" s="84"/>
      <c r="Y889" s="84"/>
      <c r="Z889" s="84"/>
      <c r="AA889" s="84"/>
      <c r="AB889" s="84"/>
      <c r="AC889" s="84"/>
      <c r="AD889" s="84"/>
    </row>
    <row r="890" spans="2:30" x14ac:dyDescent="0.25">
      <c r="B890" s="93"/>
      <c r="C890" s="84"/>
      <c r="D890" s="84"/>
      <c r="E890" s="87"/>
      <c r="F890" s="87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84"/>
      <c r="R890" s="84"/>
      <c r="S890" s="84"/>
      <c r="T890" s="84"/>
      <c r="U890" s="84"/>
      <c r="V890" s="84"/>
      <c r="W890" s="84"/>
      <c r="X890" s="84"/>
      <c r="Y890" s="84"/>
      <c r="Z890" s="84"/>
      <c r="AA890" s="84"/>
      <c r="AB890" s="84"/>
      <c r="AC890" s="84"/>
      <c r="AD890" s="84"/>
    </row>
    <row r="891" spans="2:30" x14ac:dyDescent="0.25">
      <c r="B891" s="93"/>
      <c r="C891" s="84"/>
      <c r="D891" s="84"/>
      <c r="E891" s="87"/>
      <c r="F891" s="87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84"/>
      <c r="R891" s="84"/>
      <c r="S891" s="84"/>
      <c r="T891" s="84"/>
      <c r="U891" s="84"/>
      <c r="V891" s="84"/>
      <c r="W891" s="84"/>
      <c r="X891" s="84"/>
      <c r="Y891" s="84"/>
      <c r="Z891" s="84"/>
      <c r="AA891" s="84"/>
      <c r="AB891" s="84"/>
      <c r="AC891" s="84"/>
      <c r="AD891" s="84"/>
    </row>
    <row r="892" spans="2:30" x14ac:dyDescent="0.25">
      <c r="B892" s="93"/>
      <c r="C892" s="84"/>
      <c r="D892" s="84"/>
      <c r="E892" s="87"/>
      <c r="F892" s="87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84"/>
      <c r="R892" s="84"/>
      <c r="S892" s="84"/>
      <c r="T892" s="84"/>
      <c r="U892" s="84"/>
      <c r="V892" s="84"/>
      <c r="W892" s="84"/>
      <c r="X892" s="84"/>
      <c r="Y892" s="84"/>
      <c r="Z892" s="84"/>
      <c r="AA892" s="84"/>
      <c r="AB892" s="84"/>
      <c r="AC892" s="84"/>
      <c r="AD892" s="84"/>
    </row>
    <row r="893" spans="2:30" x14ac:dyDescent="0.25">
      <c r="B893" s="93"/>
      <c r="C893" s="84"/>
      <c r="D893" s="84"/>
      <c r="E893" s="87"/>
      <c r="F893" s="87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84"/>
      <c r="R893" s="84"/>
      <c r="S893" s="84"/>
      <c r="T893" s="84"/>
      <c r="U893" s="84"/>
      <c r="V893" s="84"/>
      <c r="W893" s="84"/>
      <c r="X893" s="84"/>
      <c r="Y893" s="84"/>
      <c r="Z893" s="84"/>
      <c r="AA893" s="84"/>
      <c r="AB893" s="84"/>
      <c r="AC893" s="84"/>
      <c r="AD893" s="84"/>
    </row>
    <row r="894" spans="2:30" x14ac:dyDescent="0.25">
      <c r="B894" s="93"/>
      <c r="C894" s="84"/>
      <c r="D894" s="84"/>
      <c r="E894" s="87"/>
      <c r="F894" s="87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84"/>
      <c r="R894" s="84"/>
      <c r="S894" s="84"/>
      <c r="T894" s="84"/>
      <c r="U894" s="84"/>
      <c r="V894" s="84"/>
      <c r="W894" s="84"/>
      <c r="X894" s="84"/>
      <c r="Y894" s="84"/>
      <c r="Z894" s="84"/>
      <c r="AA894" s="84"/>
      <c r="AB894" s="84"/>
      <c r="AC894" s="84"/>
      <c r="AD894" s="84"/>
    </row>
    <row r="895" spans="2:30" x14ac:dyDescent="0.25">
      <c r="B895" s="93"/>
      <c r="C895" s="84"/>
      <c r="D895" s="84"/>
      <c r="E895" s="87"/>
      <c r="F895" s="87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84"/>
      <c r="R895" s="84"/>
      <c r="S895" s="84"/>
      <c r="T895" s="84"/>
      <c r="U895" s="84"/>
      <c r="V895" s="84"/>
      <c r="W895" s="84"/>
      <c r="X895" s="84"/>
      <c r="Y895" s="84"/>
      <c r="Z895" s="84"/>
      <c r="AA895" s="84"/>
      <c r="AB895" s="84"/>
      <c r="AC895" s="84"/>
      <c r="AD895" s="84"/>
    </row>
    <row r="896" spans="2:30" x14ac:dyDescent="0.25">
      <c r="B896" s="93"/>
      <c r="C896" s="84"/>
      <c r="D896" s="84"/>
      <c r="E896" s="87"/>
      <c r="F896" s="87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84"/>
      <c r="R896" s="84"/>
      <c r="S896" s="84"/>
      <c r="T896" s="84"/>
      <c r="U896" s="84"/>
      <c r="V896" s="84"/>
      <c r="W896" s="84"/>
      <c r="X896" s="84"/>
      <c r="Y896" s="84"/>
      <c r="Z896" s="84"/>
      <c r="AA896" s="84"/>
      <c r="AB896" s="84"/>
      <c r="AC896" s="84"/>
      <c r="AD896" s="84"/>
    </row>
    <row r="897" spans="2:30" x14ac:dyDescent="0.25">
      <c r="B897" s="93"/>
      <c r="C897" s="84"/>
      <c r="D897" s="84"/>
      <c r="E897" s="87"/>
      <c r="F897" s="87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84"/>
      <c r="R897" s="84"/>
      <c r="S897" s="84"/>
      <c r="T897" s="84"/>
      <c r="U897" s="84"/>
      <c r="V897" s="84"/>
      <c r="W897" s="84"/>
      <c r="X897" s="84"/>
      <c r="Y897" s="84"/>
      <c r="Z897" s="84"/>
      <c r="AA897" s="84"/>
      <c r="AB897" s="84"/>
      <c r="AC897" s="84"/>
      <c r="AD897" s="84"/>
    </row>
    <row r="898" spans="2:30" x14ac:dyDescent="0.25">
      <c r="B898" s="93"/>
      <c r="C898" s="84"/>
      <c r="D898" s="84"/>
      <c r="E898" s="87"/>
      <c r="F898" s="87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84"/>
      <c r="R898" s="84"/>
      <c r="S898" s="84"/>
      <c r="T898" s="84"/>
      <c r="U898" s="84"/>
      <c r="V898" s="84"/>
      <c r="W898" s="84"/>
      <c r="X898" s="84"/>
      <c r="Y898" s="84"/>
      <c r="Z898" s="84"/>
      <c r="AA898" s="84"/>
      <c r="AB898" s="84"/>
      <c r="AC898" s="84"/>
      <c r="AD898" s="84"/>
    </row>
    <row r="899" spans="2:30" x14ac:dyDescent="0.25">
      <c r="B899" s="93"/>
      <c r="C899" s="84"/>
      <c r="D899" s="84"/>
      <c r="E899" s="87"/>
      <c r="F899" s="87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  <c r="AA899" s="84"/>
      <c r="AB899" s="84"/>
      <c r="AC899" s="84"/>
      <c r="AD899" s="84"/>
    </row>
    <row r="900" spans="2:30" x14ac:dyDescent="0.25">
      <c r="B900" s="93"/>
      <c r="C900" s="84"/>
      <c r="D900" s="84"/>
      <c r="E900" s="87"/>
      <c r="F900" s="87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84"/>
      <c r="R900" s="84"/>
      <c r="S900" s="84"/>
      <c r="T900" s="84"/>
      <c r="U900" s="84"/>
      <c r="V900" s="84"/>
      <c r="W900" s="84"/>
      <c r="X900" s="84"/>
      <c r="Y900" s="84"/>
      <c r="Z900" s="84"/>
      <c r="AA900" s="84"/>
      <c r="AB900" s="84"/>
      <c r="AC900" s="84"/>
      <c r="AD900" s="84"/>
    </row>
    <row r="901" spans="2:30" x14ac:dyDescent="0.25">
      <c r="B901" s="93"/>
      <c r="C901" s="84"/>
      <c r="D901" s="84"/>
      <c r="E901" s="87"/>
      <c r="F901" s="87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84"/>
      <c r="R901" s="84"/>
      <c r="S901" s="84"/>
      <c r="T901" s="84"/>
      <c r="U901" s="84"/>
      <c r="V901" s="84"/>
      <c r="W901" s="84"/>
      <c r="X901" s="84"/>
      <c r="Y901" s="84"/>
      <c r="Z901" s="84"/>
      <c r="AA901" s="84"/>
      <c r="AB901" s="84"/>
      <c r="AC901" s="84"/>
      <c r="AD901" s="84"/>
    </row>
    <row r="902" spans="2:30" x14ac:dyDescent="0.25">
      <c r="B902" s="93"/>
      <c r="C902" s="84"/>
      <c r="D902" s="84"/>
      <c r="E902" s="87"/>
      <c r="F902" s="87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84"/>
      <c r="R902" s="84"/>
      <c r="S902" s="84"/>
      <c r="T902" s="84"/>
      <c r="U902" s="84"/>
      <c r="V902" s="84"/>
      <c r="W902" s="84"/>
      <c r="X902" s="84"/>
      <c r="Y902" s="84"/>
      <c r="Z902" s="84"/>
      <c r="AA902" s="84"/>
      <c r="AB902" s="84"/>
      <c r="AC902" s="84"/>
      <c r="AD902" s="84"/>
    </row>
    <row r="903" spans="2:30" x14ac:dyDescent="0.25">
      <c r="B903" s="93"/>
      <c r="C903" s="84"/>
      <c r="D903" s="84"/>
      <c r="E903" s="87"/>
      <c r="F903" s="87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84"/>
      <c r="R903" s="84"/>
      <c r="S903" s="84"/>
      <c r="T903" s="84"/>
      <c r="U903" s="84"/>
      <c r="V903" s="84"/>
      <c r="W903" s="84"/>
      <c r="X903" s="84"/>
      <c r="Y903" s="84"/>
      <c r="Z903" s="84"/>
      <c r="AA903" s="84"/>
      <c r="AB903" s="84"/>
      <c r="AC903" s="84"/>
      <c r="AD903" s="84"/>
    </row>
    <row r="904" spans="2:30" x14ac:dyDescent="0.25">
      <c r="B904" s="93"/>
      <c r="C904" s="84"/>
      <c r="D904" s="84"/>
      <c r="E904" s="87"/>
      <c r="F904" s="87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84"/>
      <c r="R904" s="84"/>
      <c r="S904" s="84"/>
      <c r="T904" s="84"/>
      <c r="U904" s="84"/>
      <c r="V904" s="84"/>
      <c r="W904" s="84"/>
      <c r="X904" s="84"/>
      <c r="Y904" s="84"/>
      <c r="Z904" s="84"/>
      <c r="AA904" s="84"/>
      <c r="AB904" s="84"/>
      <c r="AC904" s="84"/>
      <c r="AD904" s="84"/>
    </row>
    <row r="905" spans="2:30" x14ac:dyDescent="0.25">
      <c r="B905" s="93"/>
      <c r="C905" s="84"/>
      <c r="D905" s="84"/>
      <c r="E905" s="87"/>
      <c r="F905" s="87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84"/>
      <c r="R905" s="84"/>
      <c r="S905" s="84"/>
      <c r="T905" s="84"/>
      <c r="U905" s="84"/>
      <c r="V905" s="84"/>
      <c r="W905" s="84"/>
      <c r="X905" s="84"/>
      <c r="Y905" s="84"/>
      <c r="Z905" s="84"/>
      <c r="AA905" s="84"/>
      <c r="AB905" s="84"/>
      <c r="AC905" s="84"/>
      <c r="AD905" s="84"/>
    </row>
    <row r="906" spans="2:30" x14ac:dyDescent="0.25">
      <c r="B906" s="93"/>
      <c r="C906" s="84"/>
      <c r="D906" s="84"/>
      <c r="E906" s="87"/>
      <c r="F906" s="87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84"/>
      <c r="R906" s="84"/>
      <c r="S906" s="84"/>
      <c r="T906" s="84"/>
      <c r="U906" s="84"/>
      <c r="V906" s="84"/>
      <c r="W906" s="84"/>
      <c r="X906" s="84"/>
      <c r="Y906" s="84"/>
      <c r="Z906" s="84"/>
      <c r="AA906" s="84"/>
      <c r="AB906" s="84"/>
      <c r="AC906" s="84"/>
      <c r="AD906" s="84"/>
    </row>
    <row r="907" spans="2:30" x14ac:dyDescent="0.25">
      <c r="B907" s="93"/>
      <c r="C907" s="84"/>
      <c r="D907" s="84"/>
      <c r="E907" s="87"/>
      <c r="F907" s="87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84"/>
      <c r="R907" s="84"/>
      <c r="S907" s="84"/>
      <c r="T907" s="84"/>
      <c r="U907" s="84"/>
      <c r="V907" s="84"/>
      <c r="W907" s="84"/>
      <c r="X907" s="84"/>
      <c r="Y907" s="84"/>
      <c r="Z907" s="84"/>
      <c r="AA907" s="84"/>
      <c r="AB907" s="84"/>
      <c r="AC907" s="84"/>
      <c r="AD907" s="84"/>
    </row>
    <row r="908" spans="2:30" x14ac:dyDescent="0.25">
      <c r="B908" s="93"/>
      <c r="C908" s="84"/>
      <c r="D908" s="84"/>
      <c r="E908" s="87"/>
      <c r="F908" s="87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84"/>
      <c r="R908" s="84"/>
      <c r="S908" s="84"/>
      <c r="T908" s="84"/>
      <c r="U908" s="84"/>
      <c r="V908" s="84"/>
      <c r="W908" s="84"/>
      <c r="X908" s="84"/>
      <c r="Y908" s="84"/>
      <c r="Z908" s="84"/>
      <c r="AA908" s="84"/>
      <c r="AB908" s="84"/>
      <c r="AC908" s="84"/>
      <c r="AD908" s="84"/>
    </row>
    <row r="909" spans="2:30" x14ac:dyDescent="0.25">
      <c r="B909" s="93"/>
      <c r="C909" s="84"/>
      <c r="D909" s="84"/>
      <c r="E909" s="87"/>
      <c r="F909" s="87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84"/>
      <c r="R909" s="84"/>
      <c r="S909" s="84"/>
      <c r="T909" s="84"/>
      <c r="U909" s="84"/>
      <c r="V909" s="84"/>
      <c r="W909" s="84"/>
      <c r="X909" s="84"/>
      <c r="Y909" s="84"/>
      <c r="Z909" s="84"/>
      <c r="AA909" s="84"/>
      <c r="AB909" s="84"/>
      <c r="AC909" s="84"/>
      <c r="AD909" s="84"/>
    </row>
    <row r="910" spans="2:30" x14ac:dyDescent="0.25">
      <c r="B910" s="93"/>
      <c r="C910" s="84"/>
      <c r="D910" s="84"/>
      <c r="E910" s="87"/>
      <c r="F910" s="87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  <c r="U910" s="84"/>
      <c r="V910" s="84"/>
      <c r="W910" s="84"/>
      <c r="X910" s="84"/>
      <c r="Y910" s="84"/>
      <c r="Z910" s="84"/>
      <c r="AA910" s="84"/>
      <c r="AB910" s="84"/>
      <c r="AC910" s="84"/>
      <c r="AD910" s="84"/>
    </row>
    <row r="911" spans="2:30" x14ac:dyDescent="0.25">
      <c r="B911" s="93"/>
      <c r="C911" s="84"/>
      <c r="D911" s="84"/>
      <c r="E911" s="87"/>
      <c r="F911" s="87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84"/>
      <c r="R911" s="84"/>
      <c r="S911" s="84"/>
      <c r="T911" s="84"/>
      <c r="U911" s="84"/>
      <c r="V911" s="84"/>
      <c r="W911" s="84"/>
      <c r="X911" s="84"/>
      <c r="Y911" s="84"/>
      <c r="Z911" s="84"/>
      <c r="AA911" s="84"/>
      <c r="AB911" s="84"/>
      <c r="AC911" s="84"/>
      <c r="AD911" s="84"/>
    </row>
    <row r="912" spans="2:30" x14ac:dyDescent="0.25">
      <c r="B912" s="93"/>
      <c r="C912" s="84"/>
      <c r="D912" s="84"/>
      <c r="E912" s="87"/>
      <c r="F912" s="87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84"/>
      <c r="R912" s="84"/>
      <c r="S912" s="84"/>
      <c r="T912" s="84"/>
      <c r="U912" s="84"/>
      <c r="V912" s="84"/>
      <c r="W912" s="84"/>
      <c r="X912" s="84"/>
      <c r="Y912" s="84"/>
      <c r="Z912" s="84"/>
      <c r="AA912" s="84"/>
      <c r="AB912" s="84"/>
      <c r="AC912" s="84"/>
      <c r="AD912" s="84"/>
    </row>
    <row r="913" spans="2:30" x14ac:dyDescent="0.25">
      <c r="B913" s="93"/>
      <c r="C913" s="84"/>
      <c r="D913" s="84"/>
      <c r="E913" s="87"/>
      <c r="F913" s="87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84"/>
      <c r="R913" s="84"/>
      <c r="S913" s="84"/>
      <c r="T913" s="84"/>
      <c r="U913" s="84"/>
      <c r="V913" s="84"/>
      <c r="W913" s="84"/>
      <c r="X913" s="84"/>
      <c r="Y913" s="84"/>
      <c r="Z913" s="84"/>
      <c r="AA913" s="84"/>
      <c r="AB913" s="84"/>
      <c r="AC913" s="84"/>
      <c r="AD913" s="84"/>
    </row>
    <row r="914" spans="2:30" x14ac:dyDescent="0.25">
      <c r="B914" s="93"/>
      <c r="C914" s="84"/>
      <c r="D914" s="84"/>
      <c r="E914" s="87"/>
      <c r="F914" s="87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84"/>
      <c r="R914" s="84"/>
      <c r="S914" s="84"/>
      <c r="T914" s="84"/>
      <c r="U914" s="84"/>
      <c r="V914" s="84"/>
      <c r="W914" s="84"/>
      <c r="X914" s="84"/>
      <c r="Y914" s="84"/>
      <c r="Z914" s="84"/>
      <c r="AA914" s="84"/>
      <c r="AB914" s="84"/>
      <c r="AC914" s="84"/>
      <c r="AD914" s="84"/>
    </row>
    <row r="915" spans="2:30" x14ac:dyDescent="0.25">
      <c r="B915" s="93"/>
      <c r="C915" s="84"/>
      <c r="D915" s="84"/>
      <c r="E915" s="87"/>
      <c r="F915" s="87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84"/>
      <c r="R915" s="84"/>
      <c r="S915" s="84"/>
      <c r="T915" s="84"/>
      <c r="U915" s="84"/>
      <c r="V915" s="84"/>
      <c r="W915" s="84"/>
      <c r="X915" s="84"/>
      <c r="Y915" s="84"/>
      <c r="Z915" s="84"/>
      <c r="AA915" s="84"/>
      <c r="AB915" s="84"/>
      <c r="AC915" s="84"/>
      <c r="AD915" s="84"/>
    </row>
    <row r="916" spans="2:30" x14ac:dyDescent="0.25">
      <c r="B916" s="93"/>
      <c r="C916" s="84"/>
      <c r="D916" s="84"/>
      <c r="E916" s="87"/>
      <c r="F916" s="87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84"/>
      <c r="R916" s="84"/>
      <c r="S916" s="84"/>
      <c r="T916" s="84"/>
      <c r="U916" s="84"/>
      <c r="V916" s="84"/>
      <c r="W916" s="84"/>
      <c r="X916" s="84"/>
      <c r="Y916" s="84"/>
      <c r="Z916" s="84"/>
      <c r="AA916" s="84"/>
      <c r="AB916" s="84"/>
      <c r="AC916" s="84"/>
      <c r="AD916" s="84"/>
    </row>
    <row r="917" spans="2:30" x14ac:dyDescent="0.25">
      <c r="B917" s="93"/>
      <c r="C917" s="84"/>
      <c r="D917" s="84"/>
      <c r="E917" s="87"/>
      <c r="F917" s="87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84"/>
      <c r="R917" s="84"/>
      <c r="S917" s="84"/>
      <c r="T917" s="84"/>
      <c r="U917" s="84"/>
      <c r="V917" s="84"/>
      <c r="W917" s="84"/>
      <c r="X917" s="84"/>
      <c r="Y917" s="84"/>
      <c r="Z917" s="84"/>
      <c r="AA917" s="84"/>
      <c r="AB917" s="84"/>
      <c r="AC917" s="84"/>
      <c r="AD917" s="84"/>
    </row>
    <row r="918" spans="2:30" x14ac:dyDescent="0.25">
      <c r="B918" s="93"/>
      <c r="C918" s="84"/>
      <c r="D918" s="84"/>
      <c r="E918" s="87"/>
      <c r="F918" s="87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84"/>
      <c r="R918" s="84"/>
      <c r="S918" s="84"/>
      <c r="T918" s="84"/>
      <c r="U918" s="84"/>
      <c r="V918" s="84"/>
      <c r="W918" s="84"/>
      <c r="X918" s="84"/>
      <c r="Y918" s="84"/>
      <c r="Z918" s="84"/>
      <c r="AA918" s="84"/>
      <c r="AB918" s="84"/>
      <c r="AC918" s="84"/>
      <c r="AD918" s="84"/>
    </row>
    <row r="919" spans="2:30" x14ac:dyDescent="0.25">
      <c r="B919" s="93"/>
      <c r="C919" s="84"/>
      <c r="D919" s="84"/>
      <c r="E919" s="87"/>
      <c r="F919" s="87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84"/>
      <c r="R919" s="84"/>
      <c r="S919" s="84"/>
      <c r="T919" s="84"/>
      <c r="U919" s="84"/>
      <c r="V919" s="84"/>
      <c r="W919" s="84"/>
      <c r="X919" s="84"/>
      <c r="Y919" s="84"/>
      <c r="Z919" s="84"/>
      <c r="AA919" s="84"/>
      <c r="AB919" s="84"/>
      <c r="AC919" s="84"/>
      <c r="AD919" s="84"/>
    </row>
    <row r="920" spans="2:30" x14ac:dyDescent="0.25">
      <c r="B920" s="93"/>
      <c r="C920" s="84"/>
      <c r="D920" s="84"/>
      <c r="E920" s="87"/>
      <c r="F920" s="87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84"/>
      <c r="R920" s="84"/>
      <c r="S920" s="84"/>
      <c r="T920" s="84"/>
      <c r="U920" s="84"/>
      <c r="V920" s="84"/>
      <c r="W920" s="84"/>
      <c r="X920" s="84"/>
      <c r="Y920" s="84"/>
      <c r="Z920" s="84"/>
      <c r="AA920" s="84"/>
      <c r="AB920" s="84"/>
      <c r="AC920" s="84"/>
      <c r="AD920" s="84"/>
    </row>
    <row r="921" spans="2:30" x14ac:dyDescent="0.25">
      <c r="B921" s="93"/>
      <c r="C921" s="84"/>
      <c r="D921" s="84"/>
      <c r="E921" s="87"/>
      <c r="F921" s="87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84"/>
      <c r="R921" s="84"/>
      <c r="S921" s="84"/>
      <c r="T921" s="84"/>
      <c r="U921" s="84"/>
      <c r="V921" s="84"/>
      <c r="W921" s="84"/>
      <c r="X921" s="84"/>
      <c r="Y921" s="84"/>
      <c r="Z921" s="84"/>
      <c r="AA921" s="84"/>
      <c r="AB921" s="84"/>
      <c r="AC921" s="84"/>
      <c r="AD921" s="84"/>
    </row>
    <row r="922" spans="2:30" x14ac:dyDescent="0.25">
      <c r="B922" s="93"/>
      <c r="C922" s="84"/>
      <c r="D922" s="84"/>
      <c r="E922" s="87"/>
      <c r="F922" s="87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84"/>
      <c r="R922" s="84"/>
      <c r="S922" s="84"/>
      <c r="T922" s="84"/>
      <c r="U922" s="84"/>
      <c r="V922" s="84"/>
      <c r="W922" s="84"/>
      <c r="X922" s="84"/>
      <c r="Y922" s="84"/>
      <c r="Z922" s="84"/>
      <c r="AA922" s="84"/>
      <c r="AB922" s="84"/>
      <c r="AC922" s="84"/>
      <c r="AD922" s="84"/>
    </row>
    <row r="923" spans="2:30" x14ac:dyDescent="0.25">
      <c r="B923" s="93"/>
      <c r="C923" s="84"/>
      <c r="D923" s="84"/>
      <c r="E923" s="87"/>
      <c r="F923" s="87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84"/>
      <c r="R923" s="84"/>
      <c r="S923" s="84"/>
      <c r="T923" s="84"/>
      <c r="U923" s="84"/>
      <c r="V923" s="84"/>
      <c r="W923" s="84"/>
      <c r="X923" s="84"/>
      <c r="Y923" s="84"/>
      <c r="Z923" s="84"/>
      <c r="AA923" s="84"/>
      <c r="AB923" s="84"/>
      <c r="AC923" s="84"/>
      <c r="AD923" s="84"/>
    </row>
    <row r="924" spans="2:30" x14ac:dyDescent="0.25">
      <c r="B924" s="93"/>
      <c r="C924" s="84"/>
      <c r="D924" s="84"/>
      <c r="E924" s="87"/>
      <c r="F924" s="87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84"/>
      <c r="R924" s="84"/>
      <c r="S924" s="84"/>
      <c r="T924" s="84"/>
      <c r="U924" s="84"/>
      <c r="V924" s="84"/>
      <c r="W924" s="84"/>
      <c r="X924" s="84"/>
      <c r="Y924" s="84"/>
      <c r="Z924" s="84"/>
      <c r="AA924" s="84"/>
      <c r="AB924" s="84"/>
      <c r="AC924" s="84"/>
      <c r="AD924" s="84"/>
    </row>
    <row r="925" spans="2:30" x14ac:dyDescent="0.25">
      <c r="B925" s="93"/>
      <c r="C925" s="84"/>
      <c r="D925" s="84"/>
      <c r="E925" s="87"/>
      <c r="F925" s="87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84"/>
      <c r="R925" s="84"/>
      <c r="S925" s="84"/>
      <c r="T925" s="84"/>
      <c r="U925" s="84"/>
      <c r="V925" s="84"/>
      <c r="W925" s="84"/>
      <c r="X925" s="84"/>
      <c r="Y925" s="84"/>
      <c r="Z925" s="84"/>
      <c r="AA925" s="84"/>
      <c r="AB925" s="84"/>
      <c r="AC925" s="84"/>
      <c r="AD925" s="84"/>
    </row>
    <row r="926" spans="2:30" x14ac:dyDescent="0.25">
      <c r="B926" s="93"/>
      <c r="C926" s="84"/>
      <c r="D926" s="84"/>
      <c r="E926" s="87"/>
      <c r="F926" s="87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84"/>
      <c r="R926" s="84"/>
      <c r="S926" s="84"/>
      <c r="T926" s="84"/>
      <c r="U926" s="84"/>
      <c r="V926" s="84"/>
      <c r="W926" s="84"/>
      <c r="X926" s="84"/>
      <c r="Y926" s="84"/>
      <c r="Z926" s="84"/>
      <c r="AA926" s="84"/>
      <c r="AB926" s="84"/>
      <c r="AC926" s="84"/>
      <c r="AD926" s="84"/>
    </row>
    <row r="927" spans="2:30" x14ac:dyDescent="0.25">
      <c r="B927" s="93"/>
      <c r="C927" s="84"/>
      <c r="D927" s="84"/>
      <c r="E927" s="87"/>
      <c r="F927" s="87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84"/>
      <c r="R927" s="84"/>
      <c r="S927" s="84"/>
      <c r="T927" s="84"/>
      <c r="U927" s="84"/>
      <c r="V927" s="84"/>
      <c r="W927" s="84"/>
      <c r="X927" s="84"/>
      <c r="Y927" s="84"/>
      <c r="Z927" s="84"/>
      <c r="AA927" s="84"/>
      <c r="AB927" s="84"/>
      <c r="AC927" s="84"/>
      <c r="AD927" s="84"/>
    </row>
    <row r="928" spans="2:30" x14ac:dyDescent="0.25">
      <c r="B928" s="93"/>
      <c r="C928" s="84"/>
      <c r="D928" s="84"/>
      <c r="E928" s="87"/>
      <c r="F928" s="87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84"/>
      <c r="R928" s="84"/>
      <c r="S928" s="84"/>
      <c r="T928" s="84"/>
      <c r="U928" s="84"/>
      <c r="V928" s="84"/>
      <c r="W928" s="84"/>
      <c r="X928" s="84"/>
      <c r="Y928" s="84"/>
      <c r="Z928" s="84"/>
      <c r="AA928" s="84"/>
      <c r="AB928" s="84"/>
      <c r="AC928" s="84"/>
      <c r="AD928" s="84"/>
    </row>
    <row r="929" spans="2:30" x14ac:dyDescent="0.25">
      <c r="B929" s="93"/>
      <c r="C929" s="84"/>
      <c r="D929" s="84"/>
      <c r="E929" s="87"/>
      <c r="F929" s="87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84"/>
      <c r="R929" s="84"/>
      <c r="S929" s="84"/>
      <c r="T929" s="84"/>
      <c r="U929" s="84"/>
      <c r="V929" s="84"/>
      <c r="W929" s="84"/>
      <c r="X929" s="84"/>
      <c r="Y929" s="84"/>
      <c r="Z929" s="84"/>
      <c r="AA929" s="84"/>
      <c r="AB929" s="84"/>
      <c r="AC929" s="84"/>
      <c r="AD929" s="84"/>
    </row>
    <row r="930" spans="2:30" x14ac:dyDescent="0.25">
      <c r="B930" s="93"/>
      <c r="C930" s="84"/>
      <c r="D930" s="84"/>
      <c r="E930" s="87"/>
      <c r="F930" s="87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84"/>
      <c r="R930" s="84"/>
      <c r="S930" s="84"/>
      <c r="T930" s="84"/>
      <c r="U930" s="84"/>
      <c r="V930" s="84"/>
      <c r="W930" s="84"/>
      <c r="X930" s="84"/>
      <c r="Y930" s="84"/>
      <c r="Z930" s="84"/>
      <c r="AA930" s="84"/>
      <c r="AB930" s="84"/>
      <c r="AC930" s="84"/>
      <c r="AD930" s="84"/>
    </row>
    <row r="931" spans="2:30" x14ac:dyDescent="0.25">
      <c r="B931" s="93"/>
      <c r="C931" s="84"/>
      <c r="D931" s="84"/>
      <c r="E931" s="87"/>
      <c r="F931" s="87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84"/>
      <c r="R931" s="84"/>
      <c r="S931" s="84"/>
      <c r="T931" s="84"/>
      <c r="U931" s="84"/>
      <c r="V931" s="84"/>
      <c r="W931" s="84"/>
      <c r="X931" s="84"/>
      <c r="Y931" s="84"/>
      <c r="Z931" s="84"/>
      <c r="AA931" s="84"/>
      <c r="AB931" s="84"/>
      <c r="AC931" s="84"/>
      <c r="AD931" s="84"/>
    </row>
    <row r="932" spans="2:30" x14ac:dyDescent="0.25">
      <c r="B932" s="93"/>
      <c r="C932" s="84"/>
      <c r="D932" s="84"/>
      <c r="E932" s="87"/>
      <c r="F932" s="87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84"/>
      <c r="R932" s="84"/>
      <c r="S932" s="84"/>
      <c r="T932" s="84"/>
      <c r="U932" s="84"/>
      <c r="V932" s="84"/>
      <c r="W932" s="84"/>
      <c r="X932" s="84"/>
      <c r="Y932" s="84"/>
      <c r="Z932" s="84"/>
      <c r="AA932" s="84"/>
      <c r="AB932" s="84"/>
      <c r="AC932" s="84"/>
      <c r="AD932" s="84"/>
    </row>
    <row r="933" spans="2:30" x14ac:dyDescent="0.25">
      <c r="B933" s="93"/>
      <c r="C933" s="84"/>
      <c r="D933" s="84"/>
      <c r="E933" s="87"/>
      <c r="F933" s="87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84"/>
      <c r="R933" s="84"/>
      <c r="S933" s="84"/>
      <c r="T933" s="84"/>
      <c r="U933" s="84"/>
      <c r="V933" s="84"/>
      <c r="W933" s="84"/>
      <c r="X933" s="84"/>
      <c r="Y933" s="84"/>
      <c r="Z933" s="84"/>
      <c r="AA933" s="84"/>
      <c r="AB933" s="84"/>
      <c r="AC933" s="84"/>
      <c r="AD933" s="84"/>
    </row>
    <row r="934" spans="2:30" x14ac:dyDescent="0.25">
      <c r="B934" s="93"/>
      <c r="C934" s="84"/>
      <c r="D934" s="84"/>
      <c r="E934" s="87"/>
      <c r="F934" s="87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84"/>
      <c r="R934" s="84"/>
      <c r="S934" s="84"/>
      <c r="T934" s="84"/>
      <c r="U934" s="84"/>
      <c r="V934" s="84"/>
      <c r="W934" s="84"/>
      <c r="X934" s="84"/>
      <c r="Y934" s="84"/>
      <c r="Z934" s="84"/>
      <c r="AA934" s="84"/>
      <c r="AB934" s="84"/>
      <c r="AC934" s="84"/>
      <c r="AD934" s="84"/>
    </row>
    <row r="935" spans="2:30" x14ac:dyDescent="0.25">
      <c r="B935" s="93"/>
      <c r="C935" s="84"/>
      <c r="D935" s="84"/>
      <c r="E935" s="87"/>
      <c r="F935" s="87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84"/>
      <c r="R935" s="84"/>
      <c r="S935" s="84"/>
      <c r="T935" s="84"/>
      <c r="U935" s="84"/>
      <c r="V935" s="84"/>
      <c r="W935" s="84"/>
      <c r="X935" s="84"/>
      <c r="Y935" s="84"/>
      <c r="Z935" s="84"/>
      <c r="AA935" s="84"/>
      <c r="AB935" s="84"/>
      <c r="AC935" s="84"/>
      <c r="AD935" s="84"/>
    </row>
    <row r="936" spans="2:30" x14ac:dyDescent="0.25">
      <c r="B936" s="93"/>
      <c r="C936" s="84"/>
      <c r="D936" s="84"/>
      <c r="E936" s="87"/>
      <c r="F936" s="87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84"/>
      <c r="R936" s="84"/>
      <c r="S936" s="84"/>
      <c r="T936" s="84"/>
      <c r="U936" s="84"/>
      <c r="V936" s="84"/>
      <c r="W936" s="84"/>
      <c r="X936" s="84"/>
      <c r="Y936" s="84"/>
      <c r="Z936" s="84"/>
      <c r="AA936" s="84"/>
      <c r="AB936" s="84"/>
      <c r="AC936" s="84"/>
      <c r="AD936" s="84"/>
    </row>
    <row r="937" spans="2:30" x14ac:dyDescent="0.25">
      <c r="B937" s="93"/>
      <c r="C937" s="84"/>
      <c r="D937" s="84"/>
      <c r="E937" s="87"/>
      <c r="F937" s="87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84"/>
      <c r="R937" s="84"/>
      <c r="S937" s="84"/>
      <c r="T937" s="84"/>
      <c r="U937" s="84"/>
      <c r="V937" s="84"/>
      <c r="W937" s="84"/>
      <c r="X937" s="84"/>
      <c r="Y937" s="84"/>
      <c r="Z937" s="84"/>
      <c r="AA937" s="84"/>
      <c r="AB937" s="84"/>
      <c r="AC937" s="84"/>
      <c r="AD937" s="84"/>
    </row>
    <row r="938" spans="2:30" x14ac:dyDescent="0.25">
      <c r="B938" s="93"/>
      <c r="C938" s="84"/>
      <c r="D938" s="84"/>
      <c r="E938" s="87"/>
      <c r="F938" s="87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84"/>
      <c r="R938" s="84"/>
      <c r="S938" s="84"/>
      <c r="T938" s="84"/>
      <c r="U938" s="84"/>
      <c r="V938" s="84"/>
      <c r="W938" s="84"/>
      <c r="X938" s="84"/>
      <c r="Y938" s="84"/>
      <c r="Z938" s="84"/>
      <c r="AA938" s="84"/>
      <c r="AB938" s="84"/>
      <c r="AC938" s="84"/>
      <c r="AD938" s="84"/>
    </row>
    <row r="939" spans="2:30" x14ac:dyDescent="0.25">
      <c r="B939" s="93"/>
      <c r="C939" s="84"/>
      <c r="D939" s="84"/>
      <c r="E939" s="87"/>
      <c r="F939" s="87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84"/>
      <c r="R939" s="84"/>
      <c r="S939" s="84"/>
      <c r="T939" s="84"/>
      <c r="U939" s="84"/>
      <c r="V939" s="84"/>
      <c r="W939" s="84"/>
      <c r="X939" s="84"/>
      <c r="Y939" s="84"/>
      <c r="Z939" s="84"/>
      <c r="AA939" s="84"/>
      <c r="AB939" s="84"/>
      <c r="AC939" s="84"/>
      <c r="AD939" s="84"/>
    </row>
    <row r="940" spans="2:30" x14ac:dyDescent="0.25">
      <c r="B940" s="93"/>
      <c r="C940" s="84"/>
      <c r="D940" s="84"/>
      <c r="E940" s="87"/>
      <c r="F940" s="87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84"/>
      <c r="R940" s="84"/>
      <c r="S940" s="84"/>
      <c r="T940" s="84"/>
      <c r="U940" s="84"/>
      <c r="V940" s="84"/>
      <c r="W940" s="84"/>
      <c r="X940" s="84"/>
      <c r="Y940" s="84"/>
      <c r="Z940" s="84"/>
      <c r="AA940" s="84"/>
      <c r="AB940" s="84"/>
      <c r="AC940" s="84"/>
      <c r="AD940" s="84"/>
    </row>
    <row r="941" spans="2:30" x14ac:dyDescent="0.25">
      <c r="B941" s="93"/>
      <c r="C941" s="84"/>
      <c r="D941" s="84"/>
      <c r="E941" s="87"/>
      <c r="F941" s="87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84"/>
      <c r="R941" s="84"/>
      <c r="S941" s="84"/>
      <c r="T941" s="84"/>
      <c r="U941" s="84"/>
      <c r="V941" s="84"/>
      <c r="W941" s="84"/>
      <c r="X941" s="84"/>
      <c r="Y941" s="84"/>
      <c r="Z941" s="84"/>
      <c r="AA941" s="84"/>
      <c r="AB941" s="84"/>
      <c r="AC941" s="84"/>
      <c r="AD941" s="84"/>
    </row>
    <row r="942" spans="2:30" x14ac:dyDescent="0.25">
      <c r="B942" s="93"/>
      <c r="C942" s="84"/>
      <c r="D942" s="84"/>
      <c r="E942" s="87"/>
      <c r="F942" s="87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84"/>
      <c r="R942" s="84"/>
      <c r="S942" s="84"/>
      <c r="T942" s="84"/>
      <c r="U942" s="84"/>
      <c r="V942" s="84"/>
      <c r="W942" s="84"/>
      <c r="X942" s="84"/>
      <c r="Y942" s="84"/>
      <c r="Z942" s="84"/>
      <c r="AA942" s="84"/>
      <c r="AB942" s="84"/>
      <c r="AC942" s="84"/>
      <c r="AD942" s="84"/>
    </row>
    <row r="943" spans="2:30" x14ac:dyDescent="0.25">
      <c r="B943" s="93"/>
      <c r="C943" s="84"/>
      <c r="D943" s="84"/>
      <c r="E943" s="87"/>
      <c r="F943" s="87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84"/>
      <c r="R943" s="84"/>
      <c r="S943" s="84"/>
      <c r="T943" s="84"/>
      <c r="U943" s="84"/>
      <c r="V943" s="84"/>
      <c r="W943" s="84"/>
      <c r="X943" s="84"/>
      <c r="Y943" s="84"/>
      <c r="Z943" s="84"/>
      <c r="AA943" s="84"/>
      <c r="AB943" s="84"/>
      <c r="AC943" s="84"/>
      <c r="AD943" s="84"/>
    </row>
    <row r="944" spans="2:30" x14ac:dyDescent="0.25">
      <c r="B944" s="93"/>
      <c r="C944" s="84"/>
      <c r="D944" s="84"/>
      <c r="E944" s="87"/>
      <c r="F944" s="87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84"/>
      <c r="R944" s="84"/>
      <c r="S944" s="84"/>
      <c r="T944" s="84"/>
      <c r="U944" s="84"/>
      <c r="V944" s="84"/>
      <c r="W944" s="84"/>
      <c r="X944" s="84"/>
      <c r="Y944" s="84"/>
      <c r="Z944" s="84"/>
      <c r="AA944" s="84"/>
      <c r="AB944" s="84"/>
      <c r="AC944" s="84"/>
      <c r="AD944" s="84"/>
    </row>
    <row r="945" spans="2:30" x14ac:dyDescent="0.25">
      <c r="B945" s="93"/>
      <c r="C945" s="84"/>
      <c r="D945" s="84"/>
      <c r="E945" s="87"/>
      <c r="F945" s="87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84"/>
      <c r="R945" s="84"/>
      <c r="S945" s="84"/>
      <c r="T945" s="84"/>
      <c r="U945" s="84"/>
      <c r="V945" s="84"/>
      <c r="W945" s="84"/>
      <c r="X945" s="84"/>
      <c r="Y945" s="84"/>
      <c r="Z945" s="84"/>
      <c r="AA945" s="84"/>
      <c r="AB945" s="84"/>
      <c r="AC945" s="84"/>
      <c r="AD945" s="84"/>
    </row>
    <row r="946" spans="2:30" x14ac:dyDescent="0.25">
      <c r="B946" s="93"/>
      <c r="C946" s="84"/>
      <c r="D946" s="84"/>
      <c r="E946" s="87"/>
      <c r="F946" s="87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84"/>
      <c r="R946" s="84"/>
      <c r="S946" s="84"/>
      <c r="T946" s="84"/>
      <c r="U946" s="84"/>
      <c r="V946" s="84"/>
      <c r="W946" s="84"/>
      <c r="X946" s="84"/>
      <c r="Y946" s="84"/>
      <c r="Z946" s="84"/>
      <c r="AA946" s="84"/>
      <c r="AB946" s="84"/>
      <c r="AC946" s="84"/>
      <c r="AD946" s="84"/>
    </row>
    <row r="947" spans="2:30" x14ac:dyDescent="0.25">
      <c r="B947" s="93"/>
      <c r="C947" s="84"/>
      <c r="D947" s="84"/>
      <c r="E947" s="87"/>
      <c r="F947" s="87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84"/>
      <c r="R947" s="84"/>
      <c r="S947" s="84"/>
      <c r="T947" s="84"/>
      <c r="U947" s="84"/>
      <c r="V947" s="84"/>
      <c r="W947" s="84"/>
      <c r="X947" s="84"/>
      <c r="Y947" s="84"/>
      <c r="Z947" s="84"/>
      <c r="AA947" s="84"/>
      <c r="AB947" s="84"/>
      <c r="AC947" s="84"/>
      <c r="AD947" s="84"/>
    </row>
    <row r="948" spans="2:30" x14ac:dyDescent="0.25">
      <c r="B948" s="93"/>
      <c r="C948" s="84"/>
      <c r="D948" s="84"/>
      <c r="E948" s="87"/>
      <c r="F948" s="87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84"/>
      <c r="R948" s="84"/>
      <c r="S948" s="84"/>
      <c r="T948" s="84"/>
      <c r="U948" s="84"/>
      <c r="V948" s="84"/>
      <c r="W948" s="84"/>
      <c r="X948" s="84"/>
      <c r="Y948" s="84"/>
      <c r="Z948" s="84"/>
      <c r="AA948" s="84"/>
      <c r="AB948" s="84"/>
      <c r="AC948" s="84"/>
      <c r="AD948" s="84"/>
    </row>
    <row r="949" spans="2:30" x14ac:dyDescent="0.25">
      <c r="B949" s="93"/>
      <c r="C949" s="84"/>
      <c r="D949" s="84"/>
      <c r="E949" s="87"/>
      <c r="F949" s="87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84"/>
      <c r="R949" s="84"/>
      <c r="S949" s="84"/>
      <c r="T949" s="84"/>
      <c r="U949" s="84"/>
      <c r="V949" s="84"/>
      <c r="W949" s="84"/>
      <c r="X949" s="84"/>
      <c r="Y949" s="84"/>
      <c r="Z949" s="84"/>
      <c r="AA949" s="84"/>
      <c r="AB949" s="84"/>
      <c r="AC949" s="84"/>
      <c r="AD949" s="84"/>
    </row>
    <row r="950" spans="2:30" x14ac:dyDescent="0.25">
      <c r="B950" s="93"/>
      <c r="C950" s="84"/>
      <c r="D950" s="84"/>
      <c r="E950" s="87"/>
      <c r="F950" s="87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84"/>
      <c r="R950" s="84"/>
      <c r="S950" s="84"/>
      <c r="T950" s="84"/>
      <c r="U950" s="84"/>
      <c r="V950" s="84"/>
      <c r="W950" s="84"/>
      <c r="X950" s="84"/>
      <c r="Y950" s="84"/>
      <c r="Z950" s="84"/>
      <c r="AA950" s="84"/>
      <c r="AB950" s="84"/>
      <c r="AC950" s="84"/>
      <c r="AD950" s="84"/>
    </row>
    <row r="951" spans="2:30" x14ac:dyDescent="0.25">
      <c r="B951" s="93"/>
      <c r="C951" s="84"/>
      <c r="D951" s="84"/>
      <c r="E951" s="87"/>
      <c r="F951" s="87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84"/>
      <c r="R951" s="84"/>
      <c r="S951" s="84"/>
      <c r="T951" s="84"/>
      <c r="U951" s="84"/>
      <c r="V951" s="84"/>
      <c r="W951" s="84"/>
      <c r="X951" s="84"/>
      <c r="Y951" s="84"/>
      <c r="Z951" s="84"/>
      <c r="AA951" s="84"/>
      <c r="AB951" s="84"/>
      <c r="AC951" s="84"/>
      <c r="AD951" s="84"/>
    </row>
    <row r="952" spans="2:30" x14ac:dyDescent="0.25">
      <c r="B952" s="93"/>
      <c r="C952" s="84"/>
      <c r="D952" s="84"/>
      <c r="E952" s="87"/>
      <c r="F952" s="87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84"/>
      <c r="R952" s="84"/>
      <c r="S952" s="84"/>
      <c r="T952" s="84"/>
      <c r="U952" s="84"/>
      <c r="V952" s="84"/>
      <c r="W952" s="84"/>
      <c r="X952" s="84"/>
      <c r="Y952" s="84"/>
      <c r="Z952" s="84"/>
      <c r="AA952" s="84"/>
      <c r="AB952" s="84"/>
      <c r="AC952" s="84"/>
      <c r="AD952" s="84"/>
    </row>
    <row r="953" spans="2:30" x14ac:dyDescent="0.25">
      <c r="B953" s="93"/>
      <c r="C953" s="84"/>
      <c r="D953" s="84"/>
      <c r="E953" s="87"/>
      <c r="F953" s="87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84"/>
      <c r="R953" s="84"/>
      <c r="S953" s="84"/>
      <c r="T953" s="84"/>
      <c r="U953" s="84"/>
      <c r="V953" s="84"/>
      <c r="W953" s="84"/>
      <c r="X953" s="84"/>
      <c r="Y953" s="84"/>
      <c r="Z953" s="84"/>
      <c r="AA953" s="84"/>
      <c r="AB953" s="84"/>
      <c r="AC953" s="84"/>
      <c r="AD953" s="84"/>
    </row>
    <row r="954" spans="2:30" x14ac:dyDescent="0.25">
      <c r="B954" s="93"/>
      <c r="C954" s="84"/>
      <c r="D954" s="84"/>
      <c r="E954" s="87"/>
      <c r="F954" s="87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84"/>
      <c r="R954" s="84"/>
      <c r="S954" s="84"/>
      <c r="T954" s="84"/>
      <c r="U954" s="84"/>
      <c r="V954" s="84"/>
      <c r="W954" s="84"/>
      <c r="X954" s="84"/>
      <c r="Y954" s="84"/>
      <c r="Z954" s="84"/>
      <c r="AA954" s="84"/>
      <c r="AB954" s="84"/>
      <c r="AC954" s="84"/>
      <c r="AD954" s="84"/>
    </row>
    <row r="955" spans="2:30" x14ac:dyDescent="0.25">
      <c r="B955" s="93"/>
      <c r="C955" s="84"/>
      <c r="D955" s="84"/>
      <c r="E955" s="87"/>
      <c r="F955" s="87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84"/>
      <c r="R955" s="84"/>
      <c r="S955" s="84"/>
      <c r="T955" s="84"/>
      <c r="U955" s="84"/>
      <c r="V955" s="84"/>
      <c r="W955" s="84"/>
      <c r="X955" s="84"/>
      <c r="Y955" s="84"/>
      <c r="Z955" s="84"/>
      <c r="AA955" s="84"/>
      <c r="AB955" s="84"/>
      <c r="AC955" s="84"/>
      <c r="AD955" s="84"/>
    </row>
    <row r="956" spans="2:30" x14ac:dyDescent="0.25">
      <c r="B956" s="93"/>
      <c r="C956" s="84"/>
      <c r="D956" s="84"/>
      <c r="E956" s="87"/>
      <c r="F956" s="87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84"/>
      <c r="R956" s="84"/>
      <c r="S956" s="84"/>
      <c r="T956" s="84"/>
      <c r="U956" s="84"/>
      <c r="V956" s="84"/>
      <c r="W956" s="84"/>
      <c r="X956" s="84"/>
      <c r="Y956" s="84"/>
      <c r="Z956" s="84"/>
      <c r="AA956" s="84"/>
      <c r="AB956" s="84"/>
      <c r="AC956" s="84"/>
      <c r="AD956" s="84"/>
    </row>
    <row r="957" spans="2:30" x14ac:dyDescent="0.25">
      <c r="B957" s="93"/>
      <c r="C957" s="84"/>
      <c r="D957" s="84"/>
      <c r="E957" s="87"/>
      <c r="F957" s="87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84"/>
      <c r="R957" s="84"/>
      <c r="S957" s="84"/>
      <c r="T957" s="84"/>
      <c r="U957" s="84"/>
      <c r="V957" s="84"/>
      <c r="W957" s="84"/>
      <c r="X957" s="84"/>
      <c r="Y957" s="84"/>
      <c r="Z957" s="84"/>
      <c r="AA957" s="84"/>
      <c r="AB957" s="84"/>
      <c r="AC957" s="84"/>
      <c r="AD957" s="84"/>
    </row>
    <row r="958" spans="2:30" x14ac:dyDescent="0.25">
      <c r="B958" s="93"/>
      <c r="C958" s="84"/>
      <c r="D958" s="84"/>
      <c r="E958" s="87"/>
      <c r="F958" s="87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84"/>
      <c r="R958" s="84"/>
      <c r="S958" s="84"/>
      <c r="T958" s="84"/>
      <c r="U958" s="84"/>
      <c r="V958" s="84"/>
      <c r="W958" s="84"/>
      <c r="X958" s="84"/>
      <c r="Y958" s="84"/>
      <c r="Z958" s="84"/>
      <c r="AA958" s="84"/>
      <c r="AB958" s="84"/>
      <c r="AC958" s="84"/>
      <c r="AD958" s="84"/>
    </row>
    <row r="959" spans="2:30" x14ac:dyDescent="0.25">
      <c r="B959" s="93"/>
      <c r="C959" s="84"/>
      <c r="D959" s="84"/>
      <c r="E959" s="87"/>
      <c r="F959" s="87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84"/>
      <c r="R959" s="84"/>
      <c r="S959" s="84"/>
      <c r="T959" s="84"/>
      <c r="U959" s="84"/>
      <c r="V959" s="84"/>
      <c r="W959" s="84"/>
      <c r="X959" s="84"/>
      <c r="Y959" s="84"/>
      <c r="Z959" s="84"/>
      <c r="AA959" s="84"/>
      <c r="AB959" s="84"/>
      <c r="AC959" s="84"/>
      <c r="AD959" s="84"/>
    </row>
    <row r="960" spans="2:30" x14ac:dyDescent="0.25">
      <c r="B960" s="93"/>
      <c r="C960" s="84"/>
      <c r="D960" s="84"/>
      <c r="E960" s="87"/>
      <c r="F960" s="87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84"/>
      <c r="R960" s="84"/>
      <c r="S960" s="84"/>
      <c r="T960" s="84"/>
      <c r="U960" s="84"/>
      <c r="V960" s="84"/>
      <c r="W960" s="84"/>
      <c r="X960" s="84"/>
      <c r="Y960" s="84"/>
      <c r="Z960" s="84"/>
      <c r="AA960" s="84"/>
      <c r="AB960" s="84"/>
      <c r="AC960" s="84"/>
      <c r="AD960" s="84"/>
    </row>
    <row r="961" spans="2:30" x14ac:dyDescent="0.25">
      <c r="B961" s="93"/>
      <c r="C961" s="84"/>
      <c r="D961" s="84"/>
      <c r="E961" s="87"/>
      <c r="F961" s="87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84"/>
      <c r="R961" s="84"/>
      <c r="S961" s="84"/>
      <c r="T961" s="84"/>
      <c r="U961" s="84"/>
      <c r="V961" s="84"/>
      <c r="W961" s="84"/>
      <c r="X961" s="84"/>
      <c r="Y961" s="84"/>
      <c r="Z961" s="84"/>
      <c r="AA961" s="84"/>
      <c r="AB961" s="84"/>
      <c r="AC961" s="84"/>
      <c r="AD961" s="84"/>
    </row>
    <row r="962" spans="2:30" x14ac:dyDescent="0.25">
      <c r="B962" s="93"/>
      <c r="C962" s="84"/>
      <c r="D962" s="84"/>
      <c r="E962" s="87"/>
      <c r="F962" s="87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84"/>
      <c r="R962" s="84"/>
      <c r="S962" s="84"/>
      <c r="T962" s="84"/>
      <c r="U962" s="84"/>
      <c r="V962" s="84"/>
      <c r="W962" s="84"/>
      <c r="X962" s="84"/>
      <c r="Y962" s="84"/>
      <c r="Z962" s="84"/>
      <c r="AA962" s="84"/>
      <c r="AB962" s="84"/>
      <c r="AC962" s="84"/>
      <c r="AD962" s="84"/>
    </row>
    <row r="963" spans="2:30" x14ac:dyDescent="0.25">
      <c r="B963" s="93"/>
      <c r="C963" s="84"/>
      <c r="D963" s="84"/>
      <c r="E963" s="87"/>
      <c r="F963" s="87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  <c r="U963" s="84"/>
      <c r="V963" s="84"/>
      <c r="W963" s="84"/>
      <c r="X963" s="84"/>
      <c r="Y963" s="84"/>
      <c r="Z963" s="84"/>
      <c r="AA963" s="84"/>
      <c r="AB963" s="84"/>
      <c r="AC963" s="84"/>
      <c r="AD963" s="84"/>
    </row>
    <row r="964" spans="2:30" x14ac:dyDescent="0.25">
      <c r="B964" s="93"/>
      <c r="C964" s="84"/>
      <c r="D964" s="84"/>
      <c r="E964" s="87"/>
      <c r="F964" s="87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84"/>
      <c r="R964" s="84"/>
      <c r="S964" s="84"/>
      <c r="T964" s="84"/>
      <c r="U964" s="84"/>
      <c r="V964" s="84"/>
      <c r="W964" s="84"/>
      <c r="X964" s="84"/>
      <c r="Y964" s="84"/>
      <c r="Z964" s="84"/>
      <c r="AA964" s="84"/>
      <c r="AB964" s="84"/>
      <c r="AC964" s="84"/>
      <c r="AD964" s="84"/>
    </row>
    <row r="965" spans="2:30" x14ac:dyDescent="0.25">
      <c r="B965" s="93"/>
      <c r="C965" s="84"/>
      <c r="D965" s="84"/>
      <c r="E965" s="87"/>
      <c r="F965" s="87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84"/>
      <c r="R965" s="84"/>
      <c r="S965" s="84"/>
      <c r="T965" s="84"/>
      <c r="U965" s="84"/>
      <c r="V965" s="84"/>
      <c r="W965" s="84"/>
      <c r="X965" s="84"/>
      <c r="Y965" s="84"/>
      <c r="Z965" s="84"/>
      <c r="AA965" s="84"/>
      <c r="AB965" s="84"/>
      <c r="AC965" s="84"/>
      <c r="AD965" s="84"/>
    </row>
    <row r="966" spans="2:30" x14ac:dyDescent="0.25">
      <c r="B966" s="93"/>
      <c r="C966" s="84"/>
      <c r="D966" s="84"/>
      <c r="E966" s="87"/>
      <c r="F966" s="87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84"/>
      <c r="R966" s="84"/>
      <c r="S966" s="84"/>
      <c r="T966" s="84"/>
      <c r="U966" s="84"/>
      <c r="V966" s="84"/>
      <c r="W966" s="84"/>
      <c r="X966" s="84"/>
      <c r="Y966" s="84"/>
      <c r="Z966" s="84"/>
      <c r="AA966" s="84"/>
      <c r="AB966" s="84"/>
      <c r="AC966" s="84"/>
      <c r="AD966" s="84"/>
    </row>
    <row r="967" spans="2:30" x14ac:dyDescent="0.25">
      <c r="B967" s="93"/>
      <c r="C967" s="84"/>
      <c r="D967" s="84"/>
      <c r="E967" s="87"/>
      <c r="F967" s="87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84"/>
      <c r="R967" s="84"/>
      <c r="S967" s="84"/>
      <c r="T967" s="84"/>
      <c r="U967" s="84"/>
      <c r="V967" s="84"/>
      <c r="W967" s="84"/>
      <c r="X967" s="84"/>
      <c r="Y967" s="84"/>
      <c r="Z967" s="84"/>
      <c r="AA967" s="84"/>
      <c r="AB967" s="84"/>
      <c r="AC967" s="84"/>
      <c r="AD967" s="84"/>
    </row>
    <row r="968" spans="2:30" x14ac:dyDescent="0.25">
      <c r="B968" s="93"/>
      <c r="C968" s="84"/>
      <c r="D968" s="84"/>
      <c r="E968" s="87"/>
      <c r="F968" s="87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84"/>
      <c r="R968" s="84"/>
      <c r="S968" s="84"/>
      <c r="T968" s="84"/>
      <c r="U968" s="84"/>
      <c r="V968" s="84"/>
      <c r="W968" s="84"/>
      <c r="X968" s="84"/>
      <c r="Y968" s="84"/>
      <c r="Z968" s="84"/>
      <c r="AA968" s="84"/>
      <c r="AB968" s="84"/>
      <c r="AC968" s="84"/>
      <c r="AD968" s="84"/>
    </row>
    <row r="969" spans="2:30" x14ac:dyDescent="0.25">
      <c r="B969" s="93"/>
      <c r="C969" s="84"/>
      <c r="D969" s="84"/>
      <c r="E969" s="87"/>
      <c r="F969" s="87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84"/>
      <c r="R969" s="84"/>
      <c r="S969" s="84"/>
      <c r="T969" s="84"/>
      <c r="U969" s="84"/>
      <c r="V969" s="84"/>
      <c r="W969" s="84"/>
      <c r="X969" s="84"/>
      <c r="Y969" s="84"/>
      <c r="Z969" s="84"/>
      <c r="AA969" s="84"/>
      <c r="AB969" s="84"/>
      <c r="AC969" s="84"/>
      <c r="AD969" s="84"/>
    </row>
    <row r="970" spans="2:30" x14ac:dyDescent="0.25">
      <c r="B970" s="93"/>
      <c r="C970" s="84"/>
      <c r="D970" s="84"/>
      <c r="E970" s="87"/>
      <c r="F970" s="87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4"/>
      <c r="X970" s="84"/>
      <c r="Y970" s="84"/>
      <c r="Z970" s="84"/>
      <c r="AA970" s="84"/>
      <c r="AB970" s="84"/>
      <c r="AC970" s="84"/>
      <c r="AD970" s="84"/>
    </row>
    <row r="971" spans="2:30" x14ac:dyDescent="0.25">
      <c r="B971" s="93"/>
      <c r="C971" s="84"/>
      <c r="D971" s="84"/>
      <c r="E971" s="87"/>
      <c r="F971" s="87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4"/>
      <c r="X971" s="84"/>
      <c r="Y971" s="84"/>
      <c r="Z971" s="84"/>
      <c r="AA971" s="84"/>
      <c r="AB971" s="84"/>
      <c r="AC971" s="84"/>
      <c r="AD971" s="84"/>
    </row>
    <row r="972" spans="2:30" x14ac:dyDescent="0.25">
      <c r="B972" s="93"/>
      <c r="C972" s="84"/>
      <c r="D972" s="84"/>
      <c r="E972" s="87"/>
      <c r="F972" s="87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4"/>
      <c r="X972" s="84"/>
      <c r="Y972" s="84"/>
      <c r="Z972" s="84"/>
      <c r="AA972" s="84"/>
      <c r="AB972" s="84"/>
      <c r="AC972" s="84"/>
      <c r="AD972" s="84"/>
    </row>
    <row r="973" spans="2:30" x14ac:dyDescent="0.25">
      <c r="B973" s="93"/>
      <c r="C973" s="84"/>
      <c r="D973" s="84"/>
      <c r="E973" s="87"/>
      <c r="F973" s="87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84"/>
      <c r="R973" s="84"/>
      <c r="S973" s="84"/>
      <c r="T973" s="84"/>
      <c r="U973" s="84"/>
      <c r="V973" s="84"/>
      <c r="W973" s="84"/>
      <c r="X973" s="84"/>
      <c r="Y973" s="84"/>
      <c r="Z973" s="84"/>
      <c r="AA973" s="84"/>
      <c r="AB973" s="84"/>
      <c r="AC973" s="84"/>
      <c r="AD973" s="84"/>
    </row>
    <row r="974" spans="2:30" x14ac:dyDescent="0.25">
      <c r="B974" s="93"/>
      <c r="C974" s="84"/>
      <c r="D974" s="84"/>
      <c r="E974" s="87"/>
      <c r="F974" s="87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84"/>
      <c r="R974" s="84"/>
      <c r="S974" s="84"/>
      <c r="T974" s="84"/>
      <c r="U974" s="84"/>
      <c r="V974" s="84"/>
      <c r="W974" s="84"/>
      <c r="X974" s="84"/>
      <c r="Y974" s="84"/>
      <c r="Z974" s="84"/>
      <c r="AA974" s="84"/>
      <c r="AB974" s="84"/>
      <c r="AC974" s="84"/>
      <c r="AD974" s="84"/>
    </row>
    <row r="975" spans="2:30" x14ac:dyDescent="0.25">
      <c r="B975" s="93"/>
      <c r="C975" s="84"/>
      <c r="D975" s="84"/>
      <c r="E975" s="87"/>
      <c r="F975" s="87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84"/>
      <c r="R975" s="84"/>
      <c r="S975" s="84"/>
      <c r="T975" s="84"/>
      <c r="U975" s="84"/>
      <c r="V975" s="84"/>
      <c r="W975" s="84"/>
      <c r="X975" s="84"/>
      <c r="Y975" s="84"/>
      <c r="Z975" s="84"/>
      <c r="AA975" s="84"/>
      <c r="AB975" s="84"/>
      <c r="AC975" s="84"/>
      <c r="AD975" s="84"/>
    </row>
    <row r="976" spans="2:30" x14ac:dyDescent="0.25">
      <c r="B976" s="93"/>
      <c r="C976" s="84"/>
      <c r="D976" s="84"/>
      <c r="E976" s="87"/>
      <c r="F976" s="87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84"/>
      <c r="R976" s="84"/>
      <c r="S976" s="84"/>
      <c r="T976" s="84"/>
      <c r="U976" s="84"/>
      <c r="V976" s="84"/>
      <c r="W976" s="84"/>
      <c r="X976" s="84"/>
      <c r="Y976" s="84"/>
      <c r="Z976" s="84"/>
      <c r="AA976" s="84"/>
      <c r="AB976" s="84"/>
      <c r="AC976" s="84"/>
      <c r="AD976" s="84"/>
    </row>
    <row r="977" spans="2:30" x14ac:dyDescent="0.25">
      <c r="B977" s="93"/>
      <c r="C977" s="84"/>
      <c r="D977" s="84"/>
      <c r="E977" s="87"/>
      <c r="F977" s="87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84"/>
      <c r="R977" s="84"/>
      <c r="S977" s="84"/>
      <c r="T977" s="84"/>
      <c r="U977" s="84"/>
      <c r="V977" s="84"/>
      <c r="W977" s="84"/>
      <c r="X977" s="84"/>
      <c r="Y977" s="84"/>
      <c r="Z977" s="84"/>
      <c r="AA977" s="84"/>
      <c r="AB977" s="84"/>
      <c r="AC977" s="84"/>
      <c r="AD977" s="84"/>
    </row>
    <row r="978" spans="2:30" x14ac:dyDescent="0.25">
      <c r="B978" s="93"/>
      <c r="C978" s="84"/>
      <c r="D978" s="84"/>
      <c r="E978" s="87"/>
      <c r="F978" s="87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84"/>
      <c r="R978" s="84"/>
      <c r="S978" s="84"/>
      <c r="T978" s="84"/>
      <c r="U978" s="84"/>
      <c r="V978" s="84"/>
      <c r="W978" s="84"/>
      <c r="X978" s="84"/>
      <c r="Y978" s="84"/>
      <c r="Z978" s="84"/>
      <c r="AA978" s="84"/>
      <c r="AB978" s="84"/>
      <c r="AC978" s="84"/>
      <c r="AD978" s="84"/>
    </row>
    <row r="979" spans="2:30" x14ac:dyDescent="0.25">
      <c r="B979" s="93"/>
      <c r="C979" s="84"/>
      <c r="D979" s="84"/>
      <c r="E979" s="87"/>
      <c r="F979" s="87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84"/>
      <c r="R979" s="84"/>
      <c r="S979" s="84"/>
      <c r="T979" s="84"/>
      <c r="U979" s="84"/>
      <c r="V979" s="84"/>
      <c r="W979" s="84"/>
      <c r="X979" s="84"/>
      <c r="Y979" s="84"/>
      <c r="Z979" s="84"/>
      <c r="AA979" s="84"/>
      <c r="AB979" s="84"/>
      <c r="AC979" s="84"/>
      <c r="AD979" s="84"/>
    </row>
    <row r="980" spans="2:30" x14ac:dyDescent="0.25">
      <c r="B980" s="93"/>
      <c r="C980" s="84"/>
      <c r="D980" s="84"/>
      <c r="E980" s="87"/>
      <c r="F980" s="87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84"/>
      <c r="R980" s="84"/>
      <c r="S980" s="84"/>
      <c r="T980" s="84"/>
      <c r="U980" s="84"/>
      <c r="V980" s="84"/>
      <c r="W980" s="84"/>
      <c r="X980" s="84"/>
      <c r="Y980" s="84"/>
      <c r="Z980" s="84"/>
      <c r="AA980" s="84"/>
      <c r="AB980" s="84"/>
      <c r="AC980" s="84"/>
      <c r="AD980" s="84"/>
    </row>
    <row r="981" spans="2:30" x14ac:dyDescent="0.25">
      <c r="B981" s="93"/>
      <c r="C981" s="84"/>
      <c r="D981" s="84"/>
      <c r="E981" s="87"/>
      <c r="F981" s="87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84"/>
      <c r="R981" s="84"/>
      <c r="S981" s="84"/>
      <c r="T981" s="84"/>
      <c r="U981" s="84"/>
      <c r="V981" s="84"/>
      <c r="W981" s="84"/>
      <c r="X981" s="84"/>
      <c r="Y981" s="84"/>
      <c r="Z981" s="84"/>
      <c r="AA981" s="84"/>
      <c r="AB981" s="84"/>
      <c r="AC981" s="84"/>
      <c r="AD981" s="84"/>
    </row>
    <row r="982" spans="2:30" x14ac:dyDescent="0.25">
      <c r="B982" s="93"/>
      <c r="C982" s="84"/>
      <c r="D982" s="84"/>
      <c r="E982" s="87"/>
      <c r="F982" s="87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84"/>
      <c r="R982" s="84"/>
      <c r="S982" s="84"/>
      <c r="T982" s="84"/>
      <c r="U982" s="84"/>
      <c r="V982" s="84"/>
      <c r="W982" s="84"/>
      <c r="X982" s="84"/>
      <c r="Y982" s="84"/>
      <c r="Z982" s="84"/>
      <c r="AA982" s="84"/>
      <c r="AB982" s="84"/>
      <c r="AC982" s="84"/>
      <c r="AD982" s="84"/>
    </row>
    <row r="983" spans="2:30" x14ac:dyDescent="0.25">
      <c r="B983" s="93"/>
      <c r="C983" s="84"/>
      <c r="D983" s="84"/>
      <c r="E983" s="87"/>
      <c r="F983" s="87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84"/>
      <c r="R983" s="84"/>
      <c r="S983" s="84"/>
      <c r="T983" s="84"/>
      <c r="U983" s="84"/>
      <c r="V983" s="84"/>
      <c r="W983" s="84"/>
      <c r="X983" s="84"/>
      <c r="Y983" s="84"/>
      <c r="Z983" s="84"/>
      <c r="AA983" s="84"/>
      <c r="AB983" s="84"/>
      <c r="AC983" s="84"/>
      <c r="AD983" s="84"/>
    </row>
    <row r="984" spans="2:30" x14ac:dyDescent="0.25">
      <c r="B984" s="93"/>
      <c r="C984" s="84"/>
      <c r="D984" s="84"/>
      <c r="E984" s="87"/>
      <c r="F984" s="87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84"/>
      <c r="R984" s="84"/>
      <c r="S984" s="84"/>
      <c r="T984" s="84"/>
      <c r="U984" s="84"/>
      <c r="V984" s="84"/>
      <c r="W984" s="84"/>
      <c r="X984" s="84"/>
      <c r="Y984" s="84"/>
      <c r="Z984" s="84"/>
      <c r="AA984" s="84"/>
      <c r="AB984" s="84"/>
      <c r="AC984" s="84"/>
      <c r="AD984" s="84"/>
    </row>
    <row r="985" spans="2:30" x14ac:dyDescent="0.25">
      <c r="B985" s="93"/>
      <c r="C985" s="84"/>
      <c r="D985" s="84"/>
      <c r="E985" s="87"/>
      <c r="F985" s="87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84"/>
      <c r="R985" s="84"/>
      <c r="S985" s="84"/>
      <c r="T985" s="84"/>
      <c r="U985" s="84"/>
      <c r="V985" s="84"/>
      <c r="W985" s="84"/>
      <c r="X985" s="84"/>
      <c r="Y985" s="84"/>
      <c r="Z985" s="84"/>
      <c r="AA985" s="84"/>
      <c r="AB985" s="84"/>
      <c r="AC985" s="84"/>
      <c r="AD985" s="84"/>
    </row>
    <row r="986" spans="2:30" x14ac:dyDescent="0.25">
      <c r="B986" s="93"/>
      <c r="C986" s="84"/>
      <c r="D986" s="84"/>
      <c r="E986" s="87"/>
      <c r="F986" s="87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84"/>
      <c r="R986" s="84"/>
      <c r="S986" s="84"/>
      <c r="T986" s="84"/>
      <c r="U986" s="84"/>
      <c r="V986" s="84"/>
      <c r="W986" s="84"/>
      <c r="X986" s="84"/>
      <c r="Y986" s="84"/>
      <c r="Z986" s="84"/>
      <c r="AA986" s="84"/>
      <c r="AB986" s="84"/>
      <c r="AC986" s="84"/>
      <c r="AD986" s="84"/>
    </row>
    <row r="987" spans="2:30" x14ac:dyDescent="0.25">
      <c r="B987" s="93"/>
      <c r="C987" s="84"/>
      <c r="D987" s="84"/>
      <c r="E987" s="87"/>
      <c r="F987" s="87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84"/>
      <c r="R987" s="84"/>
      <c r="S987" s="84"/>
      <c r="T987" s="84"/>
      <c r="U987" s="84"/>
      <c r="V987" s="84"/>
      <c r="W987" s="84"/>
      <c r="X987" s="84"/>
      <c r="Y987" s="84"/>
      <c r="Z987" s="84"/>
      <c r="AA987" s="84"/>
      <c r="AB987" s="84"/>
      <c r="AC987" s="84"/>
      <c r="AD987" s="84"/>
    </row>
    <row r="988" spans="2:30" x14ac:dyDescent="0.25">
      <c r="B988" s="93"/>
      <c r="C988" s="84"/>
      <c r="D988" s="84"/>
      <c r="E988" s="87"/>
      <c r="F988" s="87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84"/>
      <c r="R988" s="84"/>
      <c r="S988" s="84"/>
      <c r="T988" s="84"/>
      <c r="U988" s="84"/>
      <c r="V988" s="84"/>
      <c r="W988" s="84"/>
      <c r="X988" s="84"/>
      <c r="Y988" s="84"/>
      <c r="Z988" s="84"/>
      <c r="AA988" s="84"/>
      <c r="AB988" s="84"/>
      <c r="AC988" s="84"/>
      <c r="AD988" s="84"/>
    </row>
    <row r="989" spans="2:30" x14ac:dyDescent="0.25">
      <c r="B989" s="93"/>
      <c r="C989" s="84"/>
      <c r="D989" s="84"/>
      <c r="E989" s="87"/>
      <c r="F989" s="87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84"/>
      <c r="R989" s="84"/>
      <c r="S989" s="84"/>
      <c r="T989" s="84"/>
      <c r="U989" s="84"/>
      <c r="V989" s="84"/>
      <c r="W989" s="84"/>
      <c r="X989" s="84"/>
      <c r="Y989" s="84"/>
      <c r="Z989" s="84"/>
      <c r="AA989" s="84"/>
      <c r="AB989" s="84"/>
      <c r="AC989" s="84"/>
      <c r="AD989" s="84"/>
    </row>
    <row r="990" spans="2:30" x14ac:dyDescent="0.25">
      <c r="B990" s="93"/>
      <c r="C990" s="84"/>
      <c r="D990" s="84"/>
      <c r="E990" s="87"/>
      <c r="F990" s="87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84"/>
      <c r="R990" s="84"/>
      <c r="S990" s="84"/>
      <c r="T990" s="84"/>
      <c r="U990" s="84"/>
      <c r="V990" s="84"/>
      <c r="W990" s="84"/>
      <c r="X990" s="84"/>
      <c r="Y990" s="84"/>
      <c r="Z990" s="84"/>
      <c r="AA990" s="84"/>
      <c r="AB990" s="84"/>
      <c r="AC990" s="84"/>
      <c r="AD990" s="84"/>
    </row>
    <row r="991" spans="2:30" x14ac:dyDescent="0.25">
      <c r="B991" s="93"/>
      <c r="C991" s="84"/>
      <c r="D991" s="84"/>
      <c r="E991" s="87"/>
      <c r="F991" s="87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84"/>
      <c r="R991" s="84"/>
      <c r="S991" s="84"/>
      <c r="T991" s="84"/>
      <c r="U991" s="84"/>
      <c r="V991" s="84"/>
      <c r="W991" s="84"/>
      <c r="X991" s="84"/>
      <c r="Y991" s="84"/>
      <c r="Z991" s="84"/>
      <c r="AA991" s="84"/>
      <c r="AB991" s="84"/>
      <c r="AC991" s="84"/>
      <c r="AD991" s="84"/>
    </row>
    <row r="992" spans="2:30" x14ac:dyDescent="0.25">
      <c r="B992" s="93"/>
      <c r="C992" s="84"/>
      <c r="D992" s="84"/>
      <c r="E992" s="87"/>
      <c r="F992" s="87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84"/>
      <c r="R992" s="84"/>
      <c r="S992" s="84"/>
      <c r="T992" s="84"/>
      <c r="U992" s="84"/>
      <c r="V992" s="84"/>
      <c r="W992" s="84"/>
      <c r="X992" s="84"/>
      <c r="Y992" s="84"/>
      <c r="Z992" s="84"/>
      <c r="AA992" s="84"/>
      <c r="AB992" s="84"/>
      <c r="AC992" s="84"/>
      <c r="AD992" s="84"/>
    </row>
    <row r="993" spans="2:30" x14ac:dyDescent="0.25">
      <c r="B993" s="93"/>
      <c r="C993" s="84"/>
      <c r="D993" s="84"/>
      <c r="E993" s="87"/>
      <c r="F993" s="87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84"/>
      <c r="R993" s="84"/>
      <c r="S993" s="84"/>
      <c r="T993" s="84"/>
      <c r="U993" s="84"/>
      <c r="V993" s="84"/>
      <c r="W993" s="84"/>
      <c r="X993" s="84"/>
      <c r="Y993" s="84"/>
      <c r="Z993" s="84"/>
      <c r="AA993" s="84"/>
      <c r="AB993" s="84"/>
      <c r="AC993" s="84"/>
      <c r="AD993" s="84"/>
    </row>
    <row r="994" spans="2:30" x14ac:dyDescent="0.25">
      <c r="B994" s="93"/>
      <c r="C994" s="84"/>
      <c r="D994" s="84"/>
      <c r="E994" s="87"/>
      <c r="F994" s="87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84"/>
      <c r="R994" s="84"/>
      <c r="S994" s="84"/>
      <c r="T994" s="84"/>
      <c r="U994" s="84"/>
      <c r="V994" s="84"/>
      <c r="W994" s="84"/>
      <c r="X994" s="84"/>
      <c r="Y994" s="84"/>
      <c r="Z994" s="84"/>
      <c r="AA994" s="84"/>
      <c r="AB994" s="84"/>
      <c r="AC994" s="84"/>
      <c r="AD994" s="84"/>
    </row>
    <row r="995" spans="2:30" x14ac:dyDescent="0.25">
      <c r="B995" s="93"/>
      <c r="C995" s="84"/>
      <c r="D995" s="84"/>
      <c r="E995" s="87"/>
      <c r="F995" s="87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84"/>
      <c r="R995" s="84"/>
      <c r="S995" s="84"/>
      <c r="T995" s="84"/>
      <c r="U995" s="84"/>
      <c r="V995" s="84"/>
      <c r="W995" s="84"/>
      <c r="X995" s="84"/>
      <c r="Y995" s="84"/>
      <c r="Z995" s="84"/>
      <c r="AA995" s="84"/>
      <c r="AB995" s="84"/>
      <c r="AC995" s="84"/>
      <c r="AD995" s="84"/>
    </row>
    <row r="996" spans="2:30" x14ac:dyDescent="0.25">
      <c r="B996" s="93"/>
      <c r="C996" s="84"/>
      <c r="D996" s="84"/>
      <c r="E996" s="87"/>
      <c r="F996" s="87"/>
      <c r="G996" s="84"/>
      <c r="H996" s="84"/>
      <c r="I996" s="84"/>
      <c r="J996" s="84"/>
      <c r="K996" s="84"/>
      <c r="L996" s="84"/>
      <c r="M996" s="84"/>
      <c r="N996" s="84"/>
      <c r="O996" s="84"/>
      <c r="P996" s="84"/>
      <c r="Q996" s="84"/>
      <c r="R996" s="84"/>
      <c r="S996" s="84"/>
      <c r="T996" s="84"/>
      <c r="U996" s="84"/>
      <c r="V996" s="84"/>
      <c r="W996" s="84"/>
      <c r="X996" s="84"/>
      <c r="Y996" s="84"/>
      <c r="Z996" s="84"/>
      <c r="AA996" s="84"/>
      <c r="AB996" s="84"/>
      <c r="AC996" s="84"/>
      <c r="AD996" s="84"/>
    </row>
    <row r="997" spans="2:30" x14ac:dyDescent="0.25">
      <c r="B997" s="93"/>
      <c r="C997" s="84"/>
      <c r="D997" s="84"/>
      <c r="E997" s="87"/>
      <c r="F997" s="87"/>
      <c r="G997" s="84"/>
      <c r="H997" s="84"/>
      <c r="I997" s="84"/>
      <c r="J997" s="84"/>
      <c r="K997" s="84"/>
      <c r="L997" s="84"/>
      <c r="M997" s="84"/>
      <c r="N997" s="84"/>
      <c r="O997" s="84"/>
      <c r="P997" s="84"/>
      <c r="Q997" s="84"/>
      <c r="R997" s="84"/>
      <c r="S997" s="84"/>
      <c r="T997" s="84"/>
      <c r="U997" s="84"/>
      <c r="V997" s="84"/>
      <c r="W997" s="84"/>
      <c r="X997" s="84"/>
      <c r="Y997" s="84"/>
      <c r="Z997" s="84"/>
      <c r="AA997" s="84"/>
      <c r="AB997" s="84"/>
      <c r="AC997" s="84"/>
      <c r="AD997" s="84"/>
    </row>
    <row r="998" spans="2:30" x14ac:dyDescent="0.25">
      <c r="B998" s="93"/>
      <c r="C998" s="84"/>
      <c r="D998" s="84"/>
      <c r="E998" s="87"/>
      <c r="F998" s="87"/>
      <c r="G998" s="84"/>
      <c r="H998" s="84"/>
      <c r="I998" s="84"/>
      <c r="J998" s="84"/>
      <c r="K998" s="84"/>
      <c r="L998" s="84"/>
      <c r="M998" s="84"/>
      <c r="N998" s="84"/>
      <c r="O998" s="84"/>
      <c r="P998" s="84"/>
      <c r="Q998" s="84"/>
      <c r="R998" s="84"/>
      <c r="S998" s="84"/>
      <c r="T998" s="84"/>
      <c r="U998" s="84"/>
      <c r="V998" s="84"/>
      <c r="W998" s="84"/>
      <c r="X998" s="84"/>
      <c r="Y998" s="84"/>
      <c r="Z998" s="84"/>
      <c r="AA998" s="84"/>
      <c r="AB998" s="84"/>
      <c r="AC998" s="84"/>
      <c r="AD998" s="84"/>
    </row>
  </sheetData>
  <dataValidations xWindow="479" yWindow="387" count="4">
    <dataValidation type="whole" operator="greaterThan" allowBlank="1" showInputMessage="1" showErrorMessage="1" error="hey!!" prompt="Warning!_x000a__x000a_Only numbers greater than zero can be entered here.!" sqref="C9:F9">
      <formula1>0</formula1>
    </dataValidation>
    <dataValidation type="decimal" showInputMessage="1" showErrorMessage="1" error="This cell MUST be a decimal (percentage)" sqref="D10:F10">
      <formula1>0</formula1>
      <formula2>1</formula2>
    </dataValidation>
    <dataValidation type="whole" operator="greaterThan" allowBlank="1" showInputMessage="1" showErrorMessage="1" error="Only Whole numbers greater than zero are allowed in this cell" prompt="This cell carries average price per card" sqref="C11:F11">
      <formula1>0</formula1>
    </dataValidation>
    <dataValidation type="list" allowBlank="1" showInputMessage="1" showErrorMessage="1" sqref="D5">
      <formula1>$D$6:$F$6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4" sqref="L14"/>
    </sheetView>
  </sheetViews>
  <sheetFormatPr defaultRowHeight="15" x14ac:dyDescent="0.25"/>
  <cols>
    <col min="1" max="1" width="1.5703125" style="42" customWidth="1"/>
    <col min="2" max="2" width="1.28515625" style="42" customWidth="1"/>
    <col min="3" max="3" width="43.28515625" style="42" customWidth="1"/>
    <col min="4" max="9" width="13.7109375" style="42" customWidth="1"/>
    <col min="10" max="16384" width="9.140625" style="42"/>
  </cols>
  <sheetData>
    <row r="1" spans="1:9" ht="21" x14ac:dyDescent="0.35">
      <c r="A1" s="39" t="str">
        <f>Cover!A2</f>
        <v>OJ LIMITED</v>
      </c>
    </row>
    <row r="2" spans="1:9" x14ac:dyDescent="0.25">
      <c r="B2" s="49" t="s">
        <v>204</v>
      </c>
      <c r="C2" s="49"/>
      <c r="D2" s="49"/>
    </row>
    <row r="3" spans="1:9" x14ac:dyDescent="0.25">
      <c r="B3" s="43" t="str">
        <f>'Ass &amp; ScenarioAnalysis'!D5</f>
        <v>Worst Case Estimates</v>
      </c>
    </row>
    <row r="4" spans="1:9" ht="2.25" customHeight="1" x14ac:dyDescent="0.25">
      <c r="B4" s="41"/>
      <c r="C4" s="41"/>
      <c r="D4" s="41"/>
      <c r="E4" s="41"/>
      <c r="F4" s="41"/>
      <c r="G4" s="41"/>
      <c r="H4" s="41"/>
      <c r="I4" s="41"/>
    </row>
    <row r="5" spans="1:9" x14ac:dyDescent="0.25">
      <c r="C5" s="216"/>
      <c r="D5" s="217">
        <v>2019</v>
      </c>
      <c r="E5" s="215" t="s">
        <v>170</v>
      </c>
      <c r="F5" s="215" t="s">
        <v>171</v>
      </c>
      <c r="G5" s="215" t="s">
        <v>172</v>
      </c>
      <c r="H5" s="215" t="s">
        <v>173</v>
      </c>
      <c r="I5" s="215" t="s">
        <v>174</v>
      </c>
    </row>
    <row r="6" spans="1:9" ht="2.25" customHeight="1" x14ac:dyDescent="0.25">
      <c r="B6" s="41"/>
      <c r="C6" s="41"/>
      <c r="D6" s="41"/>
      <c r="E6" s="41"/>
      <c r="F6" s="41"/>
      <c r="G6" s="41"/>
      <c r="H6" s="41"/>
      <c r="I6" s="41"/>
    </row>
    <row r="7" spans="1:9" x14ac:dyDescent="0.25">
      <c r="B7" s="43" t="s">
        <v>205</v>
      </c>
    </row>
    <row r="8" spans="1:9" x14ac:dyDescent="0.25">
      <c r="C8" s="42" t="s">
        <v>206</v>
      </c>
      <c r="D8" s="55">
        <f>ROUND(11765052.5, -3)</f>
        <v>11765000</v>
      </c>
      <c r="E8" s="55">
        <f>ROUND('Dep &amp; Amort Schedule'!E9, -3)</f>
        <v>8824000</v>
      </c>
      <c r="F8" s="55">
        <f>ROUND('Dep &amp; Amort Schedule'!F9, -3)</f>
        <v>5883000</v>
      </c>
      <c r="G8" s="55">
        <f>ROUND('Dep &amp; Amort Schedule'!G9, -3)</f>
        <v>2942000</v>
      </c>
      <c r="H8" s="55">
        <f>'Dep &amp; Amort Schedule'!H9</f>
        <v>1000</v>
      </c>
      <c r="I8" s="55">
        <f>'Dep &amp; Amort Schedule'!I9</f>
        <v>1000</v>
      </c>
    </row>
    <row r="9" spans="1:9" x14ac:dyDescent="0.25">
      <c r="C9" s="42" t="s">
        <v>207</v>
      </c>
      <c r="D9" s="55"/>
      <c r="E9" s="55"/>
      <c r="F9" s="55"/>
      <c r="G9" s="55"/>
      <c r="H9" s="55"/>
      <c r="I9" s="55"/>
    </row>
    <row r="10" spans="1:9" x14ac:dyDescent="0.25">
      <c r="C10" s="42" t="s">
        <v>216</v>
      </c>
      <c r="D10" s="57"/>
      <c r="E10" s="57"/>
      <c r="F10" s="57"/>
      <c r="G10" s="57"/>
      <c r="H10" s="57"/>
      <c r="I10" s="57"/>
    </row>
    <row r="11" spans="1:9" s="43" customFormat="1" x14ac:dyDescent="0.25">
      <c r="B11" s="43" t="s">
        <v>208</v>
      </c>
      <c r="D11" s="56">
        <f>SUM(D8:D10)</f>
        <v>11765000</v>
      </c>
      <c r="E11" s="56">
        <f t="shared" ref="E11:I11" si="0">SUM(E8:E10)</f>
        <v>8824000</v>
      </c>
      <c r="F11" s="56">
        <f t="shared" si="0"/>
        <v>5883000</v>
      </c>
      <c r="G11" s="56">
        <f t="shared" si="0"/>
        <v>2942000</v>
      </c>
      <c r="H11" s="56">
        <f t="shared" si="0"/>
        <v>1000</v>
      </c>
      <c r="I11" s="56">
        <f t="shared" si="0"/>
        <v>1000</v>
      </c>
    </row>
    <row r="12" spans="1:9" x14ac:dyDescent="0.25">
      <c r="D12" s="55"/>
      <c r="E12" s="55"/>
      <c r="F12" s="55"/>
      <c r="G12" s="55"/>
      <c r="H12" s="55"/>
      <c r="I12" s="55"/>
    </row>
    <row r="13" spans="1:9" x14ac:dyDescent="0.25">
      <c r="C13" s="42" t="s">
        <v>209</v>
      </c>
      <c r="D13" s="55">
        <v>12000000</v>
      </c>
      <c r="E13" s="55"/>
      <c r="F13" s="55"/>
      <c r="G13" s="55"/>
      <c r="H13" s="55"/>
      <c r="I13" s="55"/>
    </row>
    <row r="14" spans="1:9" x14ac:dyDescent="0.25">
      <c r="C14" s="42" t="s">
        <v>210</v>
      </c>
      <c r="D14" s="55">
        <f>ROUND(94105, -3)</f>
        <v>94000</v>
      </c>
      <c r="E14" s="55"/>
      <c r="F14" s="55"/>
      <c r="G14" s="55"/>
      <c r="H14" s="55"/>
      <c r="I14" s="55"/>
    </row>
    <row r="15" spans="1:9" x14ac:dyDescent="0.25">
      <c r="C15" s="42" t="s">
        <v>211</v>
      </c>
      <c r="D15" s="55">
        <f>ROUND(102970.55, -3)</f>
        <v>103000</v>
      </c>
      <c r="E15" s="55">
        <f>'Cash Flow'!E28</f>
        <v>-6548000</v>
      </c>
      <c r="F15" s="55">
        <f>'Cash Flow'!F28</f>
        <v>4334000</v>
      </c>
      <c r="G15" s="55">
        <f>'Cash Flow'!G28</f>
        <v>55394000</v>
      </c>
      <c r="H15" s="55">
        <f>'Cash Flow'!H28</f>
        <v>137774000</v>
      </c>
      <c r="I15" s="55">
        <f>'Cash Flow'!I28</f>
        <v>251509000</v>
      </c>
    </row>
    <row r="16" spans="1:9" x14ac:dyDescent="0.25">
      <c r="B16" s="43" t="s">
        <v>212</v>
      </c>
      <c r="D16" s="60">
        <f t="shared" ref="D16:I16" si="1">SUM(D13:D15)</f>
        <v>12197000</v>
      </c>
      <c r="E16" s="60">
        <f t="shared" si="1"/>
        <v>-6548000</v>
      </c>
      <c r="F16" s="60">
        <f t="shared" si="1"/>
        <v>4334000</v>
      </c>
      <c r="G16" s="60">
        <f t="shared" si="1"/>
        <v>55394000</v>
      </c>
      <c r="H16" s="60">
        <f t="shared" si="1"/>
        <v>137774000</v>
      </c>
      <c r="I16" s="60">
        <f t="shared" si="1"/>
        <v>251509000</v>
      </c>
    </row>
    <row r="17" spans="2:9" x14ac:dyDescent="0.25">
      <c r="D17" s="55"/>
      <c r="E17" s="55"/>
      <c r="F17" s="55"/>
      <c r="G17" s="55"/>
      <c r="H17" s="55"/>
      <c r="I17" s="55"/>
    </row>
    <row r="18" spans="2:9" ht="15.75" thickBot="1" x14ac:dyDescent="0.3">
      <c r="B18" s="43" t="s">
        <v>213</v>
      </c>
      <c r="D18" s="59">
        <f t="shared" ref="D18:I18" si="2">D16+D11</f>
        <v>23962000</v>
      </c>
      <c r="E18" s="59">
        <f t="shared" si="2"/>
        <v>2276000</v>
      </c>
      <c r="F18" s="59">
        <f t="shared" si="2"/>
        <v>10217000</v>
      </c>
      <c r="G18" s="59">
        <f t="shared" si="2"/>
        <v>58336000</v>
      </c>
      <c r="H18" s="59">
        <f t="shared" si="2"/>
        <v>137775000</v>
      </c>
      <c r="I18" s="59">
        <f t="shared" si="2"/>
        <v>251510000</v>
      </c>
    </row>
    <row r="19" spans="2:9" x14ac:dyDescent="0.25">
      <c r="C19" s="63" t="str">
        <f>C35</f>
        <v>error check</v>
      </c>
      <c r="D19" s="64">
        <f>D35</f>
        <v>0</v>
      </c>
      <c r="E19" s="64">
        <f t="shared" ref="E19:I19" si="3">E35</f>
        <v>0</v>
      </c>
      <c r="F19" s="64">
        <f t="shared" si="3"/>
        <v>0</v>
      </c>
      <c r="G19" s="64">
        <f t="shared" si="3"/>
        <v>0</v>
      </c>
      <c r="H19" s="64">
        <f t="shared" si="3"/>
        <v>0</v>
      </c>
      <c r="I19" s="64">
        <f t="shared" si="3"/>
        <v>0</v>
      </c>
    </row>
    <row r="20" spans="2:9" x14ac:dyDescent="0.25">
      <c r="D20" s="55"/>
      <c r="E20" s="55"/>
      <c r="F20" s="55"/>
      <c r="G20" s="55"/>
      <c r="H20" s="55"/>
      <c r="I20" s="55"/>
    </row>
    <row r="21" spans="2:9" x14ac:dyDescent="0.25">
      <c r="C21" s="42" t="s">
        <v>214</v>
      </c>
      <c r="D21" s="55">
        <f>ROUND(6321797.5, -3)</f>
        <v>6322000</v>
      </c>
      <c r="E21" s="55">
        <f>D21</f>
        <v>6322000</v>
      </c>
      <c r="F21" s="55">
        <f>E21</f>
        <v>6322000</v>
      </c>
      <c r="G21" s="55">
        <f>F21</f>
        <v>6322000</v>
      </c>
      <c r="H21" s="55">
        <f>G21</f>
        <v>6322000</v>
      </c>
      <c r="I21" s="55">
        <f>H21</f>
        <v>6322000</v>
      </c>
    </row>
    <row r="22" spans="2:9" x14ac:dyDescent="0.25">
      <c r="C22" s="42" t="s">
        <v>215</v>
      </c>
      <c r="D22" s="55">
        <f>ROUND(1224949.93-3188849.17, -3)</f>
        <v>-1964000</v>
      </c>
      <c r="E22" s="55">
        <f>'Income Statement'!D35+D22</f>
        <v>-13830000</v>
      </c>
      <c r="F22" s="55">
        <f>'Income Statement'!E35+BalSheet!E22</f>
        <v>3895000</v>
      </c>
      <c r="G22" s="55">
        <f>'Income Statement'!F35+BalSheet!F22</f>
        <v>52014000</v>
      </c>
      <c r="H22" s="55">
        <f>'Income Statement'!G35+BalSheet!G22</f>
        <v>131453000</v>
      </c>
      <c r="I22" s="55">
        <f>'Income Statement'!H35+BalSheet!H22</f>
        <v>245188000</v>
      </c>
    </row>
    <row r="23" spans="2:9" s="43" customFormat="1" x14ac:dyDescent="0.25">
      <c r="B23" s="43" t="s">
        <v>197</v>
      </c>
      <c r="D23" s="60">
        <f>SUM(D21:D22)</f>
        <v>4358000</v>
      </c>
      <c r="E23" s="60">
        <f t="shared" ref="E23:I23" si="4">SUM(E21:E22)</f>
        <v>-7508000</v>
      </c>
      <c r="F23" s="60">
        <f t="shared" si="4"/>
        <v>10217000</v>
      </c>
      <c r="G23" s="60">
        <f t="shared" si="4"/>
        <v>58336000</v>
      </c>
      <c r="H23" s="60">
        <f t="shared" si="4"/>
        <v>137775000</v>
      </c>
      <c r="I23" s="60">
        <f t="shared" si="4"/>
        <v>251510000</v>
      </c>
    </row>
    <row r="24" spans="2:9" x14ac:dyDescent="0.25">
      <c r="D24" s="55"/>
      <c r="E24" s="55"/>
      <c r="F24" s="55"/>
      <c r="G24" s="55"/>
      <c r="H24" s="55"/>
      <c r="I24" s="55"/>
    </row>
    <row r="25" spans="2:9" x14ac:dyDescent="0.25">
      <c r="C25" s="42" t="s">
        <v>217</v>
      </c>
      <c r="D25" s="55">
        <f>ROUND(19567799.98-9784000, -3)</f>
        <v>9784000</v>
      </c>
      <c r="E25" s="55"/>
      <c r="F25" s="76"/>
      <c r="G25" s="55"/>
      <c r="H25" s="55"/>
      <c r="I25" s="55"/>
    </row>
    <row r="26" spans="2:9" x14ac:dyDescent="0.25">
      <c r="C26" s="42" t="s">
        <v>218</v>
      </c>
      <c r="D26" s="55"/>
      <c r="E26" s="55"/>
      <c r="F26" s="55"/>
      <c r="G26" s="55"/>
      <c r="H26" s="55"/>
      <c r="I26" s="55"/>
    </row>
    <row r="27" spans="2:9" s="43" customFormat="1" x14ac:dyDescent="0.25">
      <c r="B27" s="43" t="s">
        <v>219</v>
      </c>
      <c r="D27" s="60">
        <f>SUM(D25:D26)</f>
        <v>9784000</v>
      </c>
      <c r="E27" s="60">
        <f t="shared" ref="E27:I27" si="5">SUM(E25:E26)</f>
        <v>0</v>
      </c>
      <c r="F27" s="60">
        <f t="shared" si="5"/>
        <v>0</v>
      </c>
      <c r="G27" s="60">
        <f t="shared" si="5"/>
        <v>0</v>
      </c>
      <c r="H27" s="60">
        <f t="shared" si="5"/>
        <v>0</v>
      </c>
      <c r="I27" s="60">
        <f t="shared" si="5"/>
        <v>0</v>
      </c>
    </row>
    <row r="28" spans="2:9" x14ac:dyDescent="0.25">
      <c r="D28" s="55"/>
      <c r="E28" s="55"/>
      <c r="F28" s="55"/>
      <c r="G28" s="55"/>
      <c r="H28" s="55"/>
      <c r="I28" s="55"/>
    </row>
    <row r="29" spans="2:9" x14ac:dyDescent="0.25">
      <c r="C29" s="42" t="s">
        <v>220</v>
      </c>
      <c r="D29" s="55"/>
      <c r="E29" s="55"/>
      <c r="F29" s="55"/>
      <c r="G29" s="55"/>
      <c r="H29" s="55"/>
      <c r="I29" s="55"/>
    </row>
    <row r="30" spans="2:9" x14ac:dyDescent="0.25">
      <c r="C30" s="42" t="s">
        <v>221</v>
      </c>
      <c r="D30" s="55">
        <f>ROUND(35679+9784000, -3)</f>
        <v>9820000</v>
      </c>
      <c r="E30" s="55">
        <f>Debt!H11</f>
        <v>9784000</v>
      </c>
      <c r="F30" s="55"/>
      <c r="G30" s="55"/>
      <c r="H30" s="55"/>
      <c r="I30" s="55"/>
    </row>
    <row r="31" spans="2:9" x14ac:dyDescent="0.25">
      <c r="C31" s="42" t="s">
        <v>222</v>
      </c>
      <c r="D31" s="55"/>
      <c r="E31" s="55"/>
      <c r="F31" s="55"/>
      <c r="G31" s="55"/>
      <c r="H31" s="55"/>
      <c r="I31" s="55"/>
    </row>
    <row r="32" spans="2:9" s="43" customFormat="1" x14ac:dyDescent="0.25">
      <c r="B32" s="43" t="s">
        <v>223</v>
      </c>
      <c r="D32" s="60">
        <f>SUM(D29:D31)</f>
        <v>9820000</v>
      </c>
      <c r="E32" s="60">
        <f t="shared" ref="E32:I32" si="6">SUM(E29:E31)</f>
        <v>9784000</v>
      </c>
      <c r="F32" s="60">
        <f t="shared" si="6"/>
        <v>0</v>
      </c>
      <c r="G32" s="60">
        <f t="shared" si="6"/>
        <v>0</v>
      </c>
      <c r="H32" s="60">
        <f t="shared" si="6"/>
        <v>0</v>
      </c>
      <c r="I32" s="60">
        <f t="shared" si="6"/>
        <v>0</v>
      </c>
    </row>
    <row r="33" spans="2:9" x14ac:dyDescent="0.25">
      <c r="D33" s="55"/>
      <c r="E33" s="55"/>
      <c r="F33" s="55"/>
      <c r="G33" s="55"/>
      <c r="H33" s="55"/>
      <c r="I33" s="55"/>
    </row>
    <row r="34" spans="2:9" s="43" customFormat="1" ht="15.75" thickBot="1" x14ac:dyDescent="0.3">
      <c r="B34" s="43" t="s">
        <v>224</v>
      </c>
      <c r="D34" s="58">
        <f>D32+D27+D23</f>
        <v>23962000</v>
      </c>
      <c r="E34" s="58">
        <f t="shared" ref="E34:I34" si="7">E32+E27+E23</f>
        <v>2276000</v>
      </c>
      <c r="F34" s="58">
        <f t="shared" si="7"/>
        <v>10217000</v>
      </c>
      <c r="G34" s="58">
        <f t="shared" si="7"/>
        <v>58336000</v>
      </c>
      <c r="H34" s="58">
        <f t="shared" si="7"/>
        <v>137775000</v>
      </c>
      <c r="I34" s="58">
        <f t="shared" si="7"/>
        <v>251510000</v>
      </c>
    </row>
    <row r="35" spans="2:9" x14ac:dyDescent="0.25">
      <c r="C35" s="61" t="s">
        <v>225</v>
      </c>
      <c r="D35" s="62">
        <f t="shared" ref="D35:I35" si="8">D34-D18</f>
        <v>0</v>
      </c>
      <c r="E35" s="62">
        <f t="shared" si="8"/>
        <v>0</v>
      </c>
      <c r="F35" s="62">
        <f t="shared" si="8"/>
        <v>0</v>
      </c>
      <c r="G35" s="62">
        <f t="shared" si="8"/>
        <v>0</v>
      </c>
      <c r="H35" s="62">
        <f t="shared" si="8"/>
        <v>0</v>
      </c>
      <c r="I35" s="62">
        <f t="shared" si="8"/>
        <v>0</v>
      </c>
    </row>
    <row r="36" spans="2:9" x14ac:dyDescent="0.25">
      <c r="D36" s="55"/>
      <c r="E36" s="55"/>
      <c r="F36" s="55"/>
      <c r="G36" s="55"/>
      <c r="H36" s="55"/>
      <c r="I36" s="55"/>
    </row>
    <row r="37" spans="2:9" x14ac:dyDescent="0.25">
      <c r="D37" s="55"/>
      <c r="E37" s="55"/>
      <c r="F37" s="55"/>
      <c r="G37" s="55"/>
      <c r="H37" s="55"/>
      <c r="I37" s="55"/>
    </row>
    <row r="38" spans="2:9" x14ac:dyDescent="0.25">
      <c r="D38" s="55"/>
      <c r="E38" s="55"/>
      <c r="F38" s="55"/>
      <c r="G38" s="55"/>
      <c r="H38" s="55"/>
      <c r="I38" s="55"/>
    </row>
    <row r="39" spans="2:9" x14ac:dyDescent="0.25">
      <c r="D39" s="55"/>
      <c r="E39" s="55"/>
      <c r="F39" s="55"/>
      <c r="G39" s="55"/>
      <c r="H39" s="55"/>
      <c r="I39" s="55"/>
    </row>
    <row r="40" spans="2:9" x14ac:dyDescent="0.25">
      <c r="D40" s="55"/>
      <c r="E40" s="55"/>
      <c r="F40" s="55"/>
      <c r="G40" s="55"/>
      <c r="H40" s="55"/>
      <c r="I40" s="55"/>
    </row>
    <row r="41" spans="2:9" x14ac:dyDescent="0.25">
      <c r="D41" s="55"/>
      <c r="E41" s="55"/>
      <c r="F41" s="55"/>
      <c r="G41" s="55"/>
      <c r="H41" s="55"/>
      <c r="I41" s="55"/>
    </row>
    <row r="42" spans="2:9" x14ac:dyDescent="0.25">
      <c r="D42" s="55"/>
      <c r="E42" s="55"/>
      <c r="F42" s="55"/>
      <c r="G42" s="55"/>
      <c r="H42" s="55"/>
      <c r="I42" s="55"/>
    </row>
    <row r="43" spans="2:9" x14ac:dyDescent="0.25">
      <c r="D43" s="55"/>
      <c r="E43" s="55"/>
      <c r="F43" s="55"/>
      <c r="G43" s="55"/>
      <c r="H43" s="55"/>
      <c r="I43" s="55"/>
    </row>
    <row r="44" spans="2:9" x14ac:dyDescent="0.25">
      <c r="D44" s="55"/>
      <c r="E44" s="55"/>
      <c r="F44" s="55"/>
      <c r="G44" s="55"/>
      <c r="H44" s="55"/>
      <c r="I44" s="55"/>
    </row>
    <row r="45" spans="2:9" x14ac:dyDescent="0.25">
      <c r="D45" s="55"/>
      <c r="E45" s="55"/>
      <c r="F45" s="55"/>
      <c r="G45" s="55"/>
      <c r="H45" s="55"/>
      <c r="I45" s="55"/>
    </row>
    <row r="46" spans="2:9" x14ac:dyDescent="0.25">
      <c r="D46" s="55"/>
      <c r="E46" s="55"/>
      <c r="F46" s="55"/>
      <c r="G46" s="55"/>
      <c r="H46" s="55"/>
      <c r="I46" s="55"/>
    </row>
    <row r="47" spans="2:9" x14ac:dyDescent="0.25">
      <c r="D47" s="55"/>
      <c r="E47" s="55"/>
      <c r="F47" s="55"/>
      <c r="G47" s="55"/>
      <c r="H47" s="55"/>
      <c r="I47" s="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defaultRowHeight="12" outlineLevelRow="1" x14ac:dyDescent="0.2"/>
  <cols>
    <col min="1" max="1" width="2" style="21" customWidth="1"/>
    <col min="2" max="2" width="2.28515625" style="21" customWidth="1"/>
    <col min="3" max="3" width="32.85546875" style="21" customWidth="1"/>
    <col min="4" max="8" width="14.28515625" style="21" customWidth="1"/>
    <col min="9" max="16384" width="9.140625" style="21"/>
  </cols>
  <sheetData>
    <row r="1" spans="2:8" ht="21" x14ac:dyDescent="0.35">
      <c r="B1" s="39" t="str">
        <f>Cover!A2</f>
        <v>OJ LIMITED</v>
      </c>
    </row>
    <row r="2" spans="2:8" ht="18.75" x14ac:dyDescent="0.3">
      <c r="B2" s="38" t="s">
        <v>150</v>
      </c>
    </row>
    <row r="3" spans="2:8" x14ac:dyDescent="0.2">
      <c r="B3" s="138" t="str">
        <f>'Ass &amp; ScenarioAnalysis'!D5</f>
        <v>Worst Case Estimates</v>
      </c>
    </row>
    <row r="4" spans="2:8" x14ac:dyDescent="0.2">
      <c r="B4" s="22"/>
      <c r="C4" s="22"/>
      <c r="D4" s="40"/>
      <c r="E4" s="22"/>
      <c r="F4" s="22"/>
      <c r="G4" s="22"/>
      <c r="H4" s="22"/>
    </row>
    <row r="5" spans="2:8" x14ac:dyDescent="0.2">
      <c r="B5" s="22"/>
      <c r="C5" s="22"/>
      <c r="D5" s="23">
        <v>2020</v>
      </c>
      <c r="E5" s="23">
        <v>2021</v>
      </c>
      <c r="F5" s="23">
        <v>2022</v>
      </c>
      <c r="G5" s="23">
        <v>2023</v>
      </c>
      <c r="H5" s="23">
        <v>2024</v>
      </c>
    </row>
    <row r="6" spans="2:8" s="24" customFormat="1" ht="11.25" x14ac:dyDescent="0.2">
      <c r="B6" s="25" t="s">
        <v>2</v>
      </c>
      <c r="C6" s="26"/>
      <c r="D6" s="27"/>
    </row>
    <row r="7" spans="2:8" s="24" customFormat="1" ht="11.25" x14ac:dyDescent="0.2">
      <c r="B7" s="26"/>
      <c r="C7" s="26" t="s">
        <v>2</v>
      </c>
      <c r="D7" s="28">
        <f>Revenue!D60</f>
        <v>102600000</v>
      </c>
      <c r="E7" s="29">
        <f>Revenue!E60</f>
        <v>152406000</v>
      </c>
      <c r="F7" s="29">
        <f>Revenue!F60</f>
        <v>203801000</v>
      </c>
      <c r="G7" s="29">
        <f>Revenue!G60</f>
        <v>256991000</v>
      </c>
      <c r="H7" s="29">
        <f>Revenue!H60</f>
        <v>312001000</v>
      </c>
    </row>
    <row r="8" spans="2:8" s="24" customFormat="1" ht="11.25" x14ac:dyDescent="0.2">
      <c r="B8" s="25" t="s">
        <v>129</v>
      </c>
      <c r="C8" s="26"/>
      <c r="D8" s="28">
        <f>SUM(D7)</f>
        <v>102600000</v>
      </c>
      <c r="E8" s="28">
        <f t="shared" ref="E8:H8" si="0">SUM(E7)</f>
        <v>152406000</v>
      </c>
      <c r="F8" s="28">
        <f t="shared" si="0"/>
        <v>203801000</v>
      </c>
      <c r="G8" s="28">
        <f t="shared" si="0"/>
        <v>256991000</v>
      </c>
      <c r="H8" s="28">
        <f t="shared" si="0"/>
        <v>312001000</v>
      </c>
    </row>
    <row r="9" spans="2:8" s="24" customFormat="1" ht="11.25" x14ac:dyDescent="0.2">
      <c r="B9" s="26"/>
      <c r="C9" s="26"/>
      <c r="D9" s="27"/>
    </row>
    <row r="10" spans="2:8" s="24" customFormat="1" ht="11.25" x14ac:dyDescent="0.2">
      <c r="B10" s="25" t="s">
        <v>130</v>
      </c>
      <c r="C10" s="26"/>
      <c r="D10" s="27"/>
    </row>
    <row r="11" spans="2:8" s="24" customFormat="1" ht="11.25" x14ac:dyDescent="0.2">
      <c r="B11" s="26"/>
      <c r="C11" s="26" t="s">
        <v>131</v>
      </c>
      <c r="D11" s="28">
        <f>Expenses!D45</f>
        <v>60832000</v>
      </c>
      <c r="E11" s="28">
        <f>Expenses!E45</f>
        <v>62682000</v>
      </c>
      <c r="F11" s="28">
        <f>Expenses!F45</f>
        <v>64589000</v>
      </c>
      <c r="G11" s="28">
        <f>Expenses!G45</f>
        <v>66553000</v>
      </c>
      <c r="H11" s="28">
        <f>Expenses!H45</f>
        <v>68578000</v>
      </c>
    </row>
    <row r="12" spans="2:8" s="24" customFormat="1" ht="11.25" x14ac:dyDescent="0.2">
      <c r="B12" s="31" t="s">
        <v>132</v>
      </c>
      <c r="C12" s="26"/>
      <c r="D12" s="28">
        <f>SUM(D11)</f>
        <v>60832000</v>
      </c>
      <c r="E12" s="28">
        <f t="shared" ref="E12:H12" si="1">SUM(E11)</f>
        <v>62682000</v>
      </c>
      <c r="F12" s="28">
        <f t="shared" si="1"/>
        <v>64589000</v>
      </c>
      <c r="G12" s="28">
        <f t="shared" si="1"/>
        <v>66553000</v>
      </c>
      <c r="H12" s="28">
        <f t="shared" si="1"/>
        <v>68578000</v>
      </c>
    </row>
    <row r="13" spans="2:8" s="24" customFormat="1" ht="11.25" x14ac:dyDescent="0.2">
      <c r="B13" s="26"/>
      <c r="C13" s="26"/>
      <c r="D13" s="27"/>
    </row>
    <row r="14" spans="2:8" s="24" customFormat="1" ht="11.25" x14ac:dyDescent="0.2">
      <c r="B14" s="25" t="s">
        <v>133</v>
      </c>
      <c r="C14" s="26"/>
      <c r="D14" s="28">
        <f>D8-D12</f>
        <v>41768000</v>
      </c>
      <c r="E14" s="28">
        <f t="shared" ref="E14:H14" si="2">E8-E12</f>
        <v>89724000</v>
      </c>
      <c r="F14" s="28">
        <f t="shared" si="2"/>
        <v>139212000</v>
      </c>
      <c r="G14" s="28">
        <f t="shared" si="2"/>
        <v>190438000</v>
      </c>
      <c r="H14" s="28">
        <f t="shared" si="2"/>
        <v>243423000</v>
      </c>
    </row>
    <row r="15" spans="2:8" s="24" customFormat="1" ht="11.25" x14ac:dyDescent="0.2">
      <c r="B15" s="25" t="s">
        <v>134</v>
      </c>
      <c r="C15" s="26"/>
      <c r="D15" s="33">
        <f>D14/D8</f>
        <v>0.40709551656920079</v>
      </c>
      <c r="E15" s="33">
        <f t="shared" ref="E15:H15" si="3">E14/E8</f>
        <v>0.58871697964647063</v>
      </c>
      <c r="F15" s="33">
        <f t="shared" si="3"/>
        <v>0.6830781006962674</v>
      </c>
      <c r="G15" s="33">
        <f t="shared" si="3"/>
        <v>0.74102984151195961</v>
      </c>
      <c r="H15" s="33">
        <f t="shared" si="3"/>
        <v>0.78019942243774865</v>
      </c>
    </row>
    <row r="16" spans="2:8" s="24" customFormat="1" ht="11.25" x14ac:dyDescent="0.2">
      <c r="B16" s="30"/>
      <c r="C16" s="26"/>
      <c r="D16" s="27"/>
    </row>
    <row r="17" spans="2:8" s="24" customFormat="1" ht="11.25" x14ac:dyDescent="0.2">
      <c r="B17" s="25" t="s">
        <v>13</v>
      </c>
      <c r="C17" s="26"/>
      <c r="D17" s="27"/>
    </row>
    <row r="18" spans="2:8" s="24" customFormat="1" ht="11.25" outlineLevel="1" x14ac:dyDescent="0.2">
      <c r="B18" s="30"/>
      <c r="C18" s="26" t="s">
        <v>157</v>
      </c>
      <c r="D18" s="28">
        <f>Expenses!D46</f>
        <v>45000000</v>
      </c>
      <c r="E18" s="28">
        <f>Expenses!E46</f>
        <v>47250000</v>
      </c>
      <c r="F18" s="28">
        <f>Expenses!F46</f>
        <v>49613000</v>
      </c>
      <c r="G18" s="28">
        <f>Expenses!G46</f>
        <v>52094000</v>
      </c>
      <c r="H18" s="28">
        <f>Expenses!H46</f>
        <v>54699000</v>
      </c>
    </row>
    <row r="19" spans="2:8" s="24" customFormat="1" ht="11.25" outlineLevel="1" x14ac:dyDescent="0.2">
      <c r="B19" s="30"/>
      <c r="C19" s="26" t="s">
        <v>8</v>
      </c>
      <c r="D19" s="28">
        <f>Expenses!D47</f>
        <v>3069000</v>
      </c>
      <c r="E19" s="28">
        <f>Expenses!E47</f>
        <v>6275000</v>
      </c>
      <c r="F19" s="28">
        <f>Expenses!F47</f>
        <v>9749000</v>
      </c>
      <c r="G19" s="28">
        <f>Expenses!G47</f>
        <v>13511000</v>
      </c>
      <c r="H19" s="28">
        <f>Expenses!H47</f>
        <v>17591000</v>
      </c>
    </row>
    <row r="20" spans="2:8" s="24" customFormat="1" ht="11.25" outlineLevel="1" x14ac:dyDescent="0.2">
      <c r="B20" s="30"/>
      <c r="C20" s="26" t="s">
        <v>14</v>
      </c>
      <c r="D20" s="28">
        <f>Expenses!D48</f>
        <v>150000</v>
      </c>
      <c r="E20" s="28">
        <f>Expenses!E48</f>
        <v>153000</v>
      </c>
      <c r="F20" s="28">
        <f>Expenses!F48</f>
        <v>156000</v>
      </c>
      <c r="G20" s="28">
        <f>Expenses!G48</f>
        <v>159000</v>
      </c>
      <c r="H20" s="28">
        <f>Expenses!H48</f>
        <v>162000</v>
      </c>
    </row>
    <row r="21" spans="2:8" s="24" customFormat="1" ht="11.25" outlineLevel="1" x14ac:dyDescent="0.2">
      <c r="B21" s="30"/>
      <c r="C21" s="26" t="s">
        <v>135</v>
      </c>
      <c r="D21" s="28">
        <f>'Ass &amp; ScenarioAnalysis'!C42</f>
        <v>7200000</v>
      </c>
      <c r="E21" s="28">
        <f>D21*(1+'Ass &amp; ScenarioAnalysis'!$C$43)</f>
        <v>7416000</v>
      </c>
      <c r="F21" s="28">
        <f>ROUND(E21*(1+'Ass &amp; ScenarioAnalysis'!$C$43), -3)</f>
        <v>7638000</v>
      </c>
      <c r="G21" s="28">
        <f>ROUND(F21*(1+'Ass &amp; ScenarioAnalysis'!$C$43), -3)</f>
        <v>7867000</v>
      </c>
      <c r="H21" s="28">
        <f>ROUND(G21*(1+'Ass &amp; ScenarioAnalysis'!$C$43), -3)</f>
        <v>8103000</v>
      </c>
    </row>
    <row r="22" spans="2:8" s="24" customFormat="1" ht="11.25" outlineLevel="1" x14ac:dyDescent="0.2">
      <c r="B22" s="30"/>
      <c r="C22" s="26" t="s">
        <v>13</v>
      </c>
      <c r="D22" s="28">
        <f>Expenses!D50</f>
        <v>360000</v>
      </c>
      <c r="E22" s="28">
        <f>Expenses!E50</f>
        <v>367000</v>
      </c>
      <c r="F22" s="28">
        <f>Expenses!F50</f>
        <v>374000</v>
      </c>
      <c r="G22" s="28">
        <f>Expenses!G50</f>
        <v>381000</v>
      </c>
      <c r="H22" s="28">
        <f>Expenses!H50</f>
        <v>389000</v>
      </c>
    </row>
    <row r="23" spans="2:8" s="24" customFormat="1" ht="11.25" x14ac:dyDescent="0.2">
      <c r="B23" s="31" t="s">
        <v>136</v>
      </c>
      <c r="C23" s="26"/>
      <c r="D23" s="34">
        <f>SUM(D18:D22)</f>
        <v>55779000</v>
      </c>
      <c r="E23" s="34">
        <f>SUM(E18:E22)</f>
        <v>61461000</v>
      </c>
      <c r="F23" s="34">
        <f>SUM(F18:F22)</f>
        <v>67530000</v>
      </c>
      <c r="G23" s="34">
        <f>SUM(G18:G22)</f>
        <v>74012000</v>
      </c>
      <c r="H23" s="34">
        <f>SUM(H18:H22)</f>
        <v>80944000</v>
      </c>
    </row>
    <row r="24" spans="2:8" s="73" customFormat="1" ht="11.25" x14ac:dyDescent="0.2">
      <c r="B24" s="25" t="s">
        <v>137</v>
      </c>
      <c r="C24" s="72"/>
      <c r="D24" s="34">
        <f>D14-D23</f>
        <v>-14011000</v>
      </c>
      <c r="E24" s="34">
        <f t="shared" ref="E24:H24" si="4">E14-E23</f>
        <v>28263000</v>
      </c>
      <c r="F24" s="34">
        <f t="shared" si="4"/>
        <v>71682000</v>
      </c>
      <c r="G24" s="34">
        <f t="shared" si="4"/>
        <v>116426000</v>
      </c>
      <c r="H24" s="34">
        <f t="shared" si="4"/>
        <v>162479000</v>
      </c>
    </row>
    <row r="25" spans="2:8" s="24" customFormat="1" ht="11.25" outlineLevel="1" x14ac:dyDescent="0.2">
      <c r="B25" s="26"/>
      <c r="C25" s="26" t="s">
        <v>138</v>
      </c>
      <c r="D25" s="28">
        <f>'Dep &amp; Amort Schedule'!E5</f>
        <v>2941000</v>
      </c>
      <c r="E25" s="28">
        <f>'Dep &amp; Amort Schedule'!F5</f>
        <v>2941000</v>
      </c>
      <c r="F25" s="28">
        <f>'Dep &amp; Amort Schedule'!G5</f>
        <v>2941000</v>
      </c>
      <c r="G25" s="28">
        <f>'Dep &amp; Amort Schedule'!H5</f>
        <v>2941000</v>
      </c>
      <c r="H25" s="28">
        <f>'Dep &amp; Amort Schedule'!I5</f>
        <v>0</v>
      </c>
    </row>
    <row r="26" spans="2:8" s="24" customFormat="1" ht="11.25" outlineLevel="1" x14ac:dyDescent="0.2">
      <c r="B26" s="26"/>
      <c r="C26" s="26" t="s">
        <v>139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2:8" s="24" customFormat="1" ht="11.25" outlineLevel="1" x14ac:dyDescent="0.2">
      <c r="B27" s="26"/>
      <c r="C27" s="26" t="s">
        <v>140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2:8" s="24" customFormat="1" ht="11.25" x14ac:dyDescent="0.2">
      <c r="B28" s="25" t="s">
        <v>141</v>
      </c>
      <c r="C28" s="26"/>
      <c r="D28" s="28">
        <f>D24-(SUM(D25:D27))</f>
        <v>-16952000</v>
      </c>
      <c r="E28" s="28">
        <f t="shared" ref="E28:H28" si="5">E24-(SUM(E25:E27))</f>
        <v>25322000</v>
      </c>
      <c r="F28" s="28">
        <f t="shared" si="5"/>
        <v>68741000</v>
      </c>
      <c r="G28" s="28">
        <f t="shared" si="5"/>
        <v>113485000</v>
      </c>
      <c r="H28" s="28">
        <f t="shared" si="5"/>
        <v>162479000</v>
      </c>
    </row>
    <row r="29" spans="2:8" s="24" customFormat="1" ht="11.25" x14ac:dyDescent="0.2">
      <c r="B29" s="26"/>
      <c r="C29" s="26" t="s">
        <v>142</v>
      </c>
      <c r="D29" s="27"/>
    </row>
    <row r="30" spans="2:8" s="24" customFormat="1" ht="11.25" x14ac:dyDescent="0.2">
      <c r="B30" s="25" t="s">
        <v>143</v>
      </c>
      <c r="C30" s="26"/>
      <c r="D30" s="28">
        <f>D28-D29</f>
        <v>-16952000</v>
      </c>
      <c r="E30" s="28">
        <f t="shared" ref="E30:H30" si="6">E28-E29</f>
        <v>25322000</v>
      </c>
      <c r="F30" s="28">
        <f t="shared" si="6"/>
        <v>68741000</v>
      </c>
      <c r="G30" s="28">
        <f t="shared" si="6"/>
        <v>113485000</v>
      </c>
      <c r="H30" s="28">
        <f t="shared" si="6"/>
        <v>162479000</v>
      </c>
    </row>
    <row r="31" spans="2:8" s="24" customFormat="1" ht="11.25" x14ac:dyDescent="0.2">
      <c r="B31" s="26"/>
      <c r="C31" s="26" t="s">
        <v>144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</row>
    <row r="32" spans="2:8" s="24" customFormat="1" ht="11.25" x14ac:dyDescent="0.2">
      <c r="B32" s="26"/>
      <c r="C32" s="26" t="s">
        <v>145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</row>
    <row r="33" spans="2:8" s="24" customFormat="1" ht="11.25" x14ac:dyDescent="0.2">
      <c r="B33" s="26"/>
      <c r="C33" s="26" t="s">
        <v>146</v>
      </c>
      <c r="D33" s="36">
        <f>ROUND(D30*'Ass &amp; ScenarioAnalysis'!$C$52, -3)</f>
        <v>-5086000</v>
      </c>
      <c r="E33" s="36">
        <f>ROUND(E30*'Ass &amp; ScenarioAnalysis'!$C$52, -3)</f>
        <v>7597000</v>
      </c>
      <c r="F33" s="36">
        <f>ROUND(F30*'Ass &amp; ScenarioAnalysis'!$C$52, -3)</f>
        <v>20622000</v>
      </c>
      <c r="G33" s="36">
        <f>ROUND(G30*'Ass &amp; ScenarioAnalysis'!$C$52, -3)</f>
        <v>34046000</v>
      </c>
      <c r="H33" s="36">
        <f>ROUND(H30*'Ass &amp; ScenarioAnalysis'!$C$52, -3)</f>
        <v>48744000</v>
      </c>
    </row>
    <row r="34" spans="2:8" s="24" customFormat="1" ht="11.25" x14ac:dyDescent="0.2">
      <c r="B34" s="26"/>
      <c r="C34" s="26" t="s">
        <v>147</v>
      </c>
      <c r="D34" s="36">
        <v>0</v>
      </c>
      <c r="E34" s="36">
        <v>0</v>
      </c>
      <c r="F34" s="36">
        <v>0</v>
      </c>
      <c r="G34" s="36">
        <v>0</v>
      </c>
      <c r="H34" s="36">
        <v>0</v>
      </c>
    </row>
    <row r="35" spans="2:8" s="24" customFormat="1" ht="11.25" x14ac:dyDescent="0.2">
      <c r="B35" s="25" t="s">
        <v>148</v>
      </c>
      <c r="C35" s="26"/>
      <c r="D35" s="36">
        <f>D30-(SUM(D31:D34))</f>
        <v>-11866000</v>
      </c>
      <c r="E35" s="37">
        <f>E30-(SUM(E31:E34))</f>
        <v>17725000</v>
      </c>
      <c r="F35" s="37">
        <f t="shared" ref="F35:H35" si="7">F30-(SUM(F31:F34))</f>
        <v>48119000</v>
      </c>
      <c r="G35" s="37">
        <f t="shared" si="7"/>
        <v>79439000</v>
      </c>
      <c r="H35" s="37">
        <f t="shared" si="7"/>
        <v>113735000</v>
      </c>
    </row>
    <row r="36" spans="2:8" s="24" customFormat="1" ht="11.25" x14ac:dyDescent="0.2">
      <c r="B36" s="26"/>
      <c r="C36" s="26" t="s">
        <v>149</v>
      </c>
      <c r="D36" s="33">
        <f>D35/D8</f>
        <v>-0.11565302144249513</v>
      </c>
      <c r="E36" s="33">
        <f t="shared" ref="E36:H36" si="8">E35/E8</f>
        <v>0.11630119549099117</v>
      </c>
      <c r="F36" s="33">
        <f t="shared" si="8"/>
        <v>0.23610777179699804</v>
      </c>
      <c r="G36" s="33">
        <f t="shared" si="8"/>
        <v>0.3091119922487558</v>
      </c>
      <c r="H36" s="33">
        <f t="shared" si="8"/>
        <v>0.36453408803176912</v>
      </c>
    </row>
    <row r="37" spans="2:8" s="24" customFormat="1" ht="11.25" x14ac:dyDescent="0.2"/>
  </sheetData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C32" sqref="C32"/>
    </sheetView>
  </sheetViews>
  <sheetFormatPr defaultRowHeight="15" outlineLevelRow="1" x14ac:dyDescent="0.25"/>
  <cols>
    <col min="1" max="1" width="1.42578125" style="42" customWidth="1"/>
    <col min="2" max="2" width="1.28515625" style="42" customWidth="1"/>
    <col min="3" max="3" width="35.85546875" style="42" customWidth="1"/>
    <col min="4" max="9" width="17.7109375" style="42" customWidth="1"/>
    <col min="10" max="16384" width="9.140625" style="42"/>
  </cols>
  <sheetData>
    <row r="1" spans="2:9" ht="21" x14ac:dyDescent="0.35">
      <c r="B1" s="39" t="str">
        <f>Cover!A2</f>
        <v>OJ LIMITED</v>
      </c>
    </row>
    <row r="2" spans="2:9" x14ac:dyDescent="0.25">
      <c r="B2" s="49" t="s">
        <v>187</v>
      </c>
      <c r="C2" s="41"/>
    </row>
    <row r="3" spans="2:9" x14ac:dyDescent="0.25">
      <c r="B3" s="43" t="str">
        <f>'Ass &amp; ScenarioAnalysis'!D5</f>
        <v>Worst Case Estimates</v>
      </c>
    </row>
    <row r="4" spans="2:9" ht="2.25" customHeight="1" x14ac:dyDescent="0.25">
      <c r="B4" s="41"/>
      <c r="C4" s="41"/>
      <c r="D4" s="41"/>
      <c r="E4" s="41"/>
      <c r="F4" s="41"/>
      <c r="G4" s="41"/>
      <c r="H4" s="41"/>
      <c r="I4" s="41"/>
    </row>
    <row r="5" spans="2:9" x14ac:dyDescent="0.25">
      <c r="B5" s="43"/>
      <c r="D5" s="54">
        <v>2019</v>
      </c>
      <c r="E5" s="54" t="s">
        <v>170</v>
      </c>
      <c r="F5" s="54" t="s">
        <v>171</v>
      </c>
      <c r="G5" s="54" t="s">
        <v>172</v>
      </c>
      <c r="H5" s="54" t="s">
        <v>173</v>
      </c>
      <c r="I5" s="54" t="s">
        <v>174</v>
      </c>
    </row>
    <row r="6" spans="2:9" ht="2.25" customHeight="1" x14ac:dyDescent="0.25">
      <c r="B6" s="41"/>
      <c r="C6" s="41"/>
      <c r="D6" s="41"/>
      <c r="E6" s="41"/>
      <c r="F6" s="41"/>
      <c r="G6" s="41"/>
      <c r="H6" s="41"/>
      <c r="I6" s="41"/>
    </row>
    <row r="8" spans="2:9" x14ac:dyDescent="0.25">
      <c r="B8" s="51" t="s">
        <v>188</v>
      </c>
    </row>
    <row r="9" spans="2:9" outlineLevel="1" x14ac:dyDescent="0.25">
      <c r="B9" s="42" t="s">
        <v>189</v>
      </c>
      <c r="D9" s="52">
        <f>BalSheet!D22</f>
        <v>-1964000</v>
      </c>
      <c r="E9" s="52">
        <f>'Income Statement'!D35</f>
        <v>-11866000</v>
      </c>
      <c r="F9" s="52">
        <f>'Income Statement'!E35</f>
        <v>17725000</v>
      </c>
      <c r="G9" s="52">
        <f>'Income Statement'!F35</f>
        <v>48119000</v>
      </c>
      <c r="H9" s="52">
        <f>'Income Statement'!G35</f>
        <v>79439000</v>
      </c>
      <c r="I9" s="52">
        <f>'Income Statement'!H35</f>
        <v>113735000</v>
      </c>
    </row>
    <row r="10" spans="2:9" outlineLevel="1" x14ac:dyDescent="0.25">
      <c r="C10" s="42" t="s">
        <v>190</v>
      </c>
      <c r="D10" s="52">
        <v>0</v>
      </c>
      <c r="E10" s="52">
        <f>'Income Statement'!D25</f>
        <v>2941000</v>
      </c>
      <c r="F10" s="52">
        <f>'Income Statement'!E25</f>
        <v>2941000</v>
      </c>
      <c r="G10" s="52">
        <f>'Income Statement'!F25</f>
        <v>2941000</v>
      </c>
      <c r="H10" s="52">
        <f>'Income Statement'!G25</f>
        <v>2941000</v>
      </c>
      <c r="I10" s="52">
        <f>'Income Statement'!H25</f>
        <v>0</v>
      </c>
    </row>
    <row r="11" spans="2:9" outlineLevel="1" x14ac:dyDescent="0.25">
      <c r="C11" s="42" t="s">
        <v>191</v>
      </c>
      <c r="D11" s="52">
        <f>-BalSheet!D13</f>
        <v>-12000000</v>
      </c>
      <c r="E11" s="52">
        <f>-(BalSheet!E13-BalSheet!D13)</f>
        <v>12000000</v>
      </c>
      <c r="F11" s="52">
        <f>-(BalSheet!F13-BalSheet!E13)</f>
        <v>0</v>
      </c>
      <c r="G11" s="52">
        <f>-(BalSheet!G13-BalSheet!F13)</f>
        <v>0</v>
      </c>
      <c r="H11" s="52">
        <f>-(BalSheet!H13-BalSheet!G13)</f>
        <v>0</v>
      </c>
      <c r="I11" s="52">
        <f>-(BalSheet!I13-BalSheet!H13)</f>
        <v>0</v>
      </c>
    </row>
    <row r="12" spans="2:9" outlineLevel="1" x14ac:dyDescent="0.25">
      <c r="C12" s="42" t="s">
        <v>192</v>
      </c>
      <c r="D12" s="52">
        <f>-BalSheet!D14</f>
        <v>-94000</v>
      </c>
      <c r="E12" s="52">
        <f>-(BalSheet!E14-BalSheet!D14)</f>
        <v>94000</v>
      </c>
      <c r="F12" s="52">
        <f>-(BalSheet!F14-BalSheet!E14)</f>
        <v>0</v>
      </c>
      <c r="G12" s="52">
        <f>-(BalSheet!G14-BalSheet!F14)</f>
        <v>0</v>
      </c>
      <c r="H12" s="52">
        <f>-(BalSheet!H14-BalSheet!G14)</f>
        <v>0</v>
      </c>
      <c r="I12" s="52">
        <f>-(BalSheet!I14-BalSheet!H14)</f>
        <v>0</v>
      </c>
    </row>
    <row r="13" spans="2:9" outlineLevel="1" x14ac:dyDescent="0.25">
      <c r="C13" s="42" t="s">
        <v>193</v>
      </c>
      <c r="D13" s="52">
        <f>BalSheet!D30</f>
        <v>9820000</v>
      </c>
      <c r="E13" s="52">
        <f>BalSheet!E30-BalSheet!D30</f>
        <v>-36000</v>
      </c>
      <c r="F13" s="52">
        <f>BalSheet!F30-BalSheet!E30</f>
        <v>-9784000</v>
      </c>
      <c r="G13" s="52">
        <f>BalSheet!G30-BalSheet!F30</f>
        <v>0</v>
      </c>
      <c r="H13" s="52">
        <f>BalSheet!H30-BalSheet!G30</f>
        <v>0</v>
      </c>
      <c r="I13" s="52">
        <f>BalSheet!I30-BalSheet!H30</f>
        <v>0</v>
      </c>
    </row>
    <row r="14" spans="2:9" s="43" customFormat="1" x14ac:dyDescent="0.25">
      <c r="B14" s="43" t="s">
        <v>200</v>
      </c>
      <c r="D14" s="68">
        <f>SUM(D9:D13)</f>
        <v>-4238000</v>
      </c>
      <c r="E14" s="68">
        <f>SUM(E9:E13)</f>
        <v>3133000</v>
      </c>
      <c r="F14" s="68">
        <f t="shared" ref="F14:I14" si="0">SUM(F9:F13)</f>
        <v>10882000</v>
      </c>
      <c r="G14" s="68">
        <f t="shared" si="0"/>
        <v>51060000</v>
      </c>
      <c r="H14" s="68">
        <f t="shared" si="0"/>
        <v>82380000</v>
      </c>
      <c r="I14" s="68">
        <f t="shared" si="0"/>
        <v>113735000</v>
      </c>
    </row>
    <row r="15" spans="2:9" x14ac:dyDescent="0.25">
      <c r="D15" s="52"/>
      <c r="E15" s="52"/>
      <c r="F15" s="52"/>
      <c r="G15" s="52"/>
      <c r="H15" s="52"/>
      <c r="I15" s="52"/>
    </row>
    <row r="16" spans="2:9" x14ac:dyDescent="0.25">
      <c r="B16" s="51" t="s">
        <v>195</v>
      </c>
      <c r="D16" s="52"/>
      <c r="E16" s="52"/>
      <c r="F16" s="52"/>
      <c r="G16" s="52"/>
      <c r="H16" s="52"/>
      <c r="I16" s="52"/>
    </row>
    <row r="17" spans="2:9" x14ac:dyDescent="0.25">
      <c r="B17" s="42" t="s">
        <v>196</v>
      </c>
      <c r="D17" s="52">
        <f>-BalSheet!D8</f>
        <v>-11765000</v>
      </c>
      <c r="E17" s="52">
        <f>-BalSheet!E25</f>
        <v>0</v>
      </c>
      <c r="F17" s="52">
        <f>-BalSheet!F25</f>
        <v>0</v>
      </c>
      <c r="G17" s="52"/>
      <c r="H17" s="52"/>
      <c r="I17" s="52"/>
    </row>
    <row r="18" spans="2:9" x14ac:dyDescent="0.25">
      <c r="D18" s="52"/>
      <c r="E18" s="52"/>
      <c r="F18" s="52"/>
      <c r="G18" s="52"/>
      <c r="H18" s="52"/>
      <c r="I18" s="52"/>
    </row>
    <row r="19" spans="2:9" s="43" customFormat="1" x14ac:dyDescent="0.25">
      <c r="B19" s="43" t="s">
        <v>201</v>
      </c>
      <c r="D19" s="68">
        <f>SUM(D17:D18)</f>
        <v>-11765000</v>
      </c>
      <c r="E19" s="68">
        <f t="shared" ref="E19:I19" si="1">SUM(E17:E18)</f>
        <v>0</v>
      </c>
      <c r="F19" s="68">
        <f t="shared" si="1"/>
        <v>0</v>
      </c>
      <c r="G19" s="68">
        <f t="shared" si="1"/>
        <v>0</v>
      </c>
      <c r="H19" s="68">
        <f t="shared" si="1"/>
        <v>0</v>
      </c>
      <c r="I19" s="68">
        <f t="shared" si="1"/>
        <v>0</v>
      </c>
    </row>
    <row r="20" spans="2:9" x14ac:dyDescent="0.25">
      <c r="D20" s="52"/>
      <c r="E20" s="52"/>
      <c r="F20" s="52"/>
      <c r="G20" s="52"/>
      <c r="H20" s="52"/>
      <c r="I20" s="52"/>
    </row>
    <row r="21" spans="2:9" x14ac:dyDescent="0.25">
      <c r="B21" s="51" t="s">
        <v>194</v>
      </c>
      <c r="D21" s="52"/>
      <c r="E21" s="52"/>
      <c r="F21" s="52"/>
      <c r="G21" s="52"/>
      <c r="H21" s="52"/>
      <c r="I21" s="52"/>
    </row>
    <row r="22" spans="2:9" x14ac:dyDescent="0.25">
      <c r="C22" s="42" t="s">
        <v>197</v>
      </c>
      <c r="D22" s="52">
        <f>BalSheet!D21</f>
        <v>6322000</v>
      </c>
      <c r="E22" s="52"/>
      <c r="F22" s="52"/>
      <c r="G22" s="52"/>
      <c r="H22" s="52"/>
      <c r="I22" s="52"/>
    </row>
    <row r="23" spans="2:9" x14ac:dyDescent="0.25">
      <c r="C23" s="42" t="str">
        <f>BalSheet!C25</f>
        <v>Long Term Debts</v>
      </c>
      <c r="D23" s="52">
        <f>BalSheet!D25</f>
        <v>9784000</v>
      </c>
      <c r="E23" s="52">
        <f>BalSheet!E25-BalSheet!D25</f>
        <v>-9784000</v>
      </c>
      <c r="F23" s="52"/>
      <c r="G23" s="52"/>
      <c r="H23" s="52"/>
      <c r="I23" s="52"/>
    </row>
    <row r="24" spans="2:9" s="43" customFormat="1" x14ac:dyDescent="0.25">
      <c r="B24" s="43" t="s">
        <v>202</v>
      </c>
      <c r="D24" s="68">
        <f>SUM(D22:D23)</f>
        <v>16106000</v>
      </c>
      <c r="E24" s="68">
        <f t="shared" ref="E24:I24" si="2">SUM(E22:E23)</f>
        <v>-9784000</v>
      </c>
      <c r="F24" s="68">
        <f t="shared" si="2"/>
        <v>0</v>
      </c>
      <c r="G24" s="68">
        <f t="shared" si="2"/>
        <v>0</v>
      </c>
      <c r="H24" s="68">
        <f t="shared" si="2"/>
        <v>0</v>
      </c>
      <c r="I24" s="68">
        <f t="shared" si="2"/>
        <v>0</v>
      </c>
    </row>
    <row r="25" spans="2:9" x14ac:dyDescent="0.25">
      <c r="B25" s="43"/>
      <c r="D25" s="52"/>
      <c r="E25" s="52"/>
      <c r="F25" s="52"/>
      <c r="G25" s="52"/>
      <c r="H25" s="52"/>
      <c r="I25" s="52"/>
    </row>
    <row r="26" spans="2:9" x14ac:dyDescent="0.25">
      <c r="B26" s="53" t="s">
        <v>203</v>
      </c>
      <c r="D26" s="69">
        <f t="shared" ref="D26:I26" si="3">D14+D19+D24</f>
        <v>103000</v>
      </c>
      <c r="E26" s="69">
        <f t="shared" si="3"/>
        <v>-6651000</v>
      </c>
      <c r="F26" s="69">
        <f t="shared" si="3"/>
        <v>10882000</v>
      </c>
      <c r="G26" s="69">
        <f t="shared" si="3"/>
        <v>51060000</v>
      </c>
      <c r="H26" s="69">
        <f t="shared" si="3"/>
        <v>82380000</v>
      </c>
      <c r="I26" s="69">
        <f t="shared" si="3"/>
        <v>113735000</v>
      </c>
    </row>
    <row r="27" spans="2:9" x14ac:dyDescent="0.25">
      <c r="B27" s="42" t="s">
        <v>198</v>
      </c>
      <c r="D27" s="71">
        <v>0</v>
      </c>
      <c r="E27" s="71">
        <f>D28</f>
        <v>103000</v>
      </c>
      <c r="F27" s="71">
        <f>E28</f>
        <v>-6548000</v>
      </c>
      <c r="G27" s="71">
        <f>F28</f>
        <v>4334000</v>
      </c>
      <c r="H27" s="71">
        <f>G28</f>
        <v>55394000</v>
      </c>
      <c r="I27" s="71">
        <f>H28</f>
        <v>137774000</v>
      </c>
    </row>
    <row r="28" spans="2:9" x14ac:dyDescent="0.25">
      <c r="B28" s="42" t="s">
        <v>199</v>
      </c>
      <c r="D28" s="70">
        <f>SUM(D26:D27)</f>
        <v>103000</v>
      </c>
      <c r="E28" s="70">
        <f t="shared" ref="E28:I28" si="4">SUM(E26:E27)</f>
        <v>-6548000</v>
      </c>
      <c r="F28" s="70">
        <f t="shared" si="4"/>
        <v>4334000</v>
      </c>
      <c r="G28" s="70">
        <f t="shared" si="4"/>
        <v>55394000</v>
      </c>
      <c r="H28" s="70">
        <f t="shared" si="4"/>
        <v>137774000</v>
      </c>
      <c r="I28" s="70">
        <f t="shared" si="4"/>
        <v>251509000</v>
      </c>
    </row>
    <row r="29" spans="2:9" x14ac:dyDescent="0.25">
      <c r="D29" s="52"/>
      <c r="E29" s="52"/>
      <c r="F29" s="52"/>
      <c r="G29" s="52"/>
      <c r="H29" s="52"/>
      <c r="I29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workbookViewId="0">
      <selection activeCell="B3" sqref="B3"/>
    </sheetView>
  </sheetViews>
  <sheetFormatPr defaultRowHeight="15" x14ac:dyDescent="0.25"/>
  <cols>
    <col min="1" max="1" width="2.7109375" style="42" customWidth="1"/>
    <col min="2" max="2" width="2.5703125" style="42" customWidth="1"/>
    <col min="3" max="3" width="35.140625" style="42" customWidth="1"/>
    <col min="4" max="5" width="15.5703125" style="44" customWidth="1"/>
    <col min="6" max="6" width="19" style="44" customWidth="1"/>
    <col min="7" max="9" width="15.5703125" style="44" customWidth="1"/>
    <col min="10" max="16384" width="9.140625" style="42"/>
  </cols>
  <sheetData>
    <row r="1" spans="2:5" ht="21" x14ac:dyDescent="0.35">
      <c r="B1" s="39" t="str">
        <f>Cover!A2</f>
        <v>OJ LIMITED</v>
      </c>
    </row>
    <row r="2" spans="2:5" x14ac:dyDescent="0.25">
      <c r="B2" s="49" t="s">
        <v>169</v>
      </c>
      <c r="C2" s="48"/>
    </row>
    <row r="3" spans="2:5" x14ac:dyDescent="0.25">
      <c r="B3" s="43" t="str">
        <f>'Ass &amp; ScenarioAnalysis'!D5</f>
        <v>Worst Case Estimates</v>
      </c>
    </row>
    <row r="4" spans="2:5" x14ac:dyDescent="0.25">
      <c r="C4" s="85"/>
      <c r="D4" s="120"/>
      <c r="E4" s="120"/>
    </row>
    <row r="5" spans="2:5" x14ac:dyDescent="0.25">
      <c r="C5" s="135" t="s">
        <v>245</v>
      </c>
      <c r="D5" s="125"/>
      <c r="E5" s="125"/>
    </row>
    <row r="6" spans="2:5" x14ac:dyDescent="0.25">
      <c r="C6" s="122" t="s">
        <v>227</v>
      </c>
      <c r="D6" s="127">
        <v>0.12</v>
      </c>
      <c r="E6" s="121"/>
    </row>
    <row r="7" spans="2:5" x14ac:dyDescent="0.25">
      <c r="C7" s="122" t="s">
        <v>228</v>
      </c>
      <c r="D7" s="127">
        <v>0.13600000000000001</v>
      </c>
      <c r="E7" s="121"/>
    </row>
    <row r="8" spans="2:5" x14ac:dyDescent="0.25">
      <c r="C8" s="122" t="s">
        <v>361</v>
      </c>
      <c r="D8" s="206">
        <f>'Beta Calulations'!I23</f>
        <v>0.61617716499949948</v>
      </c>
      <c r="E8" s="121"/>
    </row>
    <row r="9" spans="2:5" x14ac:dyDescent="0.25">
      <c r="C9" s="128" t="s">
        <v>229</v>
      </c>
      <c r="D9" s="117">
        <f>D6+(D7*D8)</f>
        <v>0.20380009443993191</v>
      </c>
      <c r="E9" s="121"/>
    </row>
    <row r="10" spans="2:5" x14ac:dyDescent="0.25">
      <c r="C10" s="122"/>
      <c r="D10" s="120"/>
      <c r="E10" s="121"/>
    </row>
    <row r="11" spans="2:5" x14ac:dyDescent="0.25">
      <c r="C11" s="129" t="s">
        <v>230</v>
      </c>
      <c r="D11" s="189">
        <v>0.02</v>
      </c>
      <c r="E11" s="131"/>
    </row>
    <row r="12" spans="2:5" x14ac:dyDescent="0.25">
      <c r="C12" s="129"/>
      <c r="D12" s="130"/>
      <c r="E12" s="131"/>
    </row>
    <row r="13" spans="2:5" x14ac:dyDescent="0.25">
      <c r="C13" s="129" t="s">
        <v>244</v>
      </c>
      <c r="D13" s="130">
        <f>D9-D11</f>
        <v>0.18380009443993192</v>
      </c>
      <c r="E13" s="131"/>
    </row>
    <row r="14" spans="2:5" x14ac:dyDescent="0.25">
      <c r="C14" s="132"/>
      <c r="D14" s="133"/>
      <c r="E14" s="134"/>
    </row>
    <row r="17" spans="2:9" x14ac:dyDescent="0.25">
      <c r="C17" s="43" t="s">
        <v>246</v>
      </c>
    </row>
    <row r="18" spans="2:9" x14ac:dyDescent="0.25">
      <c r="C18" s="119"/>
      <c r="D18" s="143" t="s">
        <v>242</v>
      </c>
      <c r="E18" s="144" t="s">
        <v>197</v>
      </c>
    </row>
    <row r="19" spans="2:9" x14ac:dyDescent="0.25">
      <c r="C19" s="122" t="s">
        <v>243</v>
      </c>
      <c r="D19" s="139">
        <f>BalSheet!D25</f>
        <v>9784000</v>
      </c>
      <c r="E19" s="140">
        <f>BalSheet!D21</f>
        <v>6322000</v>
      </c>
    </row>
    <row r="20" spans="2:9" x14ac:dyDescent="0.25">
      <c r="C20" s="122" t="s">
        <v>247</v>
      </c>
      <c r="D20" s="127">
        <f>D19/($E$19+$D$19)</f>
        <v>0.60747547497826893</v>
      </c>
      <c r="E20" s="123">
        <f>E19/($E$19+$D$19)</f>
        <v>0.39252452502173102</v>
      </c>
    </row>
    <row r="21" spans="2:9" x14ac:dyDescent="0.25">
      <c r="C21" s="124" t="s">
        <v>248</v>
      </c>
      <c r="D21" s="137">
        <f>'Ass &amp; ScenarioAnalysis'!C51*(1-'Ass &amp; ScenarioAnalysis'!C52)</f>
        <v>0.13999999999999999</v>
      </c>
      <c r="E21" s="141">
        <f>D9</f>
        <v>0.20380009443993191</v>
      </c>
    </row>
    <row r="22" spans="2:9" x14ac:dyDescent="0.25">
      <c r="C22" s="142" t="s">
        <v>249</v>
      </c>
      <c r="D22" s="133">
        <f>(D21*D20)+(E21*E20)</f>
        <v>0.16504310176637585</v>
      </c>
      <c r="E22" s="126"/>
    </row>
    <row r="24" spans="2:9" x14ac:dyDescent="0.25">
      <c r="B24" s="43" t="s">
        <v>175</v>
      </c>
    </row>
    <row r="25" spans="2:9" ht="2.25" customHeight="1" x14ac:dyDescent="0.25">
      <c r="B25" s="41"/>
      <c r="C25" s="41"/>
      <c r="D25" s="45"/>
      <c r="E25" s="45"/>
      <c r="F25" s="45"/>
      <c r="G25" s="45"/>
      <c r="H25" s="45"/>
      <c r="I25" s="45"/>
    </row>
    <row r="26" spans="2:9" x14ac:dyDescent="0.25">
      <c r="D26" s="44">
        <v>2019</v>
      </c>
      <c r="E26" s="44" t="s">
        <v>170</v>
      </c>
      <c r="F26" s="44" t="s">
        <v>171</v>
      </c>
      <c r="G26" s="44" t="s">
        <v>172</v>
      </c>
      <c r="H26" s="44" t="s">
        <v>173</v>
      </c>
      <c r="I26" s="44" t="s">
        <v>174</v>
      </c>
    </row>
    <row r="27" spans="2:9" ht="2.25" customHeight="1" x14ac:dyDescent="0.25">
      <c r="B27" s="41"/>
      <c r="C27" s="41"/>
      <c r="D27" s="45"/>
      <c r="E27" s="45"/>
      <c r="F27" s="45"/>
      <c r="G27" s="45"/>
      <c r="H27" s="45"/>
      <c r="I27" s="45"/>
    </row>
    <row r="28" spans="2:9" ht="18.75" customHeight="1" x14ac:dyDescent="0.25"/>
    <row r="29" spans="2:9" ht="18.75" customHeight="1" x14ac:dyDescent="0.25">
      <c r="B29" s="42" t="s">
        <v>176</v>
      </c>
      <c r="D29" s="46"/>
      <c r="E29" s="46">
        <f>'Income Statement'!D35</f>
        <v>-11866000</v>
      </c>
      <c r="F29" s="46">
        <f>'Income Statement'!E35</f>
        <v>17725000</v>
      </c>
      <c r="G29" s="46">
        <f>'Income Statement'!F35</f>
        <v>48119000</v>
      </c>
      <c r="H29" s="46">
        <f>'Income Statement'!G35</f>
        <v>79439000</v>
      </c>
      <c r="I29" s="46">
        <f>'Income Statement'!H35</f>
        <v>113735000</v>
      </c>
    </row>
    <row r="30" spans="2:9" ht="18.75" customHeight="1" x14ac:dyDescent="0.25">
      <c r="B30" s="42" t="s">
        <v>177</v>
      </c>
      <c r="D30" s="46"/>
      <c r="E30" s="46"/>
      <c r="F30" s="46"/>
      <c r="G30" s="46"/>
      <c r="H30" s="46"/>
      <c r="I30" s="46"/>
    </row>
    <row r="31" spans="2:9" ht="2.25" customHeight="1" x14ac:dyDescent="0.25">
      <c r="D31" s="47"/>
      <c r="E31" s="47"/>
      <c r="F31" s="47"/>
      <c r="G31" s="47"/>
      <c r="H31" s="47"/>
      <c r="I31" s="47"/>
    </row>
    <row r="32" spans="2:9" ht="18" customHeight="1" x14ac:dyDescent="0.25">
      <c r="C32" s="42" t="s">
        <v>178</v>
      </c>
      <c r="D32" s="46">
        <f>D29-D31</f>
        <v>0</v>
      </c>
      <c r="E32" s="46">
        <f t="shared" ref="E32:I32" si="0">E29-E31</f>
        <v>-11866000</v>
      </c>
      <c r="F32" s="46">
        <f t="shared" si="0"/>
        <v>17725000</v>
      </c>
      <c r="G32" s="46">
        <f t="shared" si="0"/>
        <v>48119000</v>
      </c>
      <c r="H32" s="46">
        <f t="shared" si="0"/>
        <v>79439000</v>
      </c>
      <c r="I32" s="46">
        <f t="shared" si="0"/>
        <v>113735000</v>
      </c>
    </row>
    <row r="33" spans="2:9" ht="18" customHeight="1" x14ac:dyDescent="0.25">
      <c r="B33" s="42" t="s">
        <v>179</v>
      </c>
      <c r="D33" s="46"/>
      <c r="E33" s="46">
        <f>'Income Statement'!D25+'Income Statement'!D26</f>
        <v>2941000</v>
      </c>
      <c r="F33" s="46">
        <f>'Income Statement'!E25+'Income Statement'!E26</f>
        <v>2941000</v>
      </c>
      <c r="G33" s="46">
        <f>'Income Statement'!F25+'Income Statement'!F26</f>
        <v>2941000</v>
      </c>
      <c r="H33" s="46">
        <f>'Income Statement'!G25+'Income Statement'!G26</f>
        <v>2941000</v>
      </c>
      <c r="I33" s="46">
        <f>'Income Statement'!H25+'Income Statement'!H26</f>
        <v>0</v>
      </c>
    </row>
    <row r="34" spans="2:9" ht="2.25" customHeight="1" x14ac:dyDescent="0.25">
      <c r="D34" s="47"/>
      <c r="E34" s="47"/>
      <c r="F34" s="47"/>
      <c r="G34" s="47"/>
      <c r="H34" s="47"/>
      <c r="I34" s="47"/>
    </row>
    <row r="35" spans="2:9" ht="18" customHeight="1" x14ac:dyDescent="0.25">
      <c r="D35" s="46">
        <f>D32+D34</f>
        <v>0</v>
      </c>
      <c r="E35" s="46">
        <f t="shared" ref="E35:I35" si="1">E32+E34</f>
        <v>-11866000</v>
      </c>
      <c r="F35" s="46">
        <f t="shared" si="1"/>
        <v>17725000</v>
      </c>
      <c r="G35" s="46">
        <f t="shared" si="1"/>
        <v>48119000</v>
      </c>
      <c r="H35" s="46">
        <f t="shared" si="1"/>
        <v>79439000</v>
      </c>
      <c r="I35" s="46">
        <f t="shared" si="1"/>
        <v>113735000</v>
      </c>
    </row>
    <row r="36" spans="2:9" ht="18" customHeight="1" x14ac:dyDescent="0.25">
      <c r="B36" s="42" t="s">
        <v>180</v>
      </c>
      <c r="D36" s="46"/>
      <c r="E36" s="46"/>
      <c r="F36" s="46"/>
      <c r="G36" s="46"/>
      <c r="H36" s="46"/>
      <c r="I36" s="46"/>
    </row>
    <row r="37" spans="2:9" ht="18" customHeight="1" x14ac:dyDescent="0.25">
      <c r="B37" s="42" t="s">
        <v>181</v>
      </c>
      <c r="D37" s="46"/>
      <c r="E37" s="46"/>
      <c r="F37" s="46"/>
      <c r="G37" s="46"/>
      <c r="H37" s="46"/>
      <c r="I37" s="46"/>
    </row>
    <row r="38" spans="2:9" ht="2.25" customHeight="1" x14ac:dyDescent="0.25">
      <c r="D38" s="47"/>
      <c r="E38" s="47"/>
      <c r="F38" s="47"/>
      <c r="G38" s="47"/>
      <c r="H38" s="47"/>
      <c r="I38" s="47"/>
    </row>
    <row r="39" spans="2:9" ht="19.5" customHeight="1" x14ac:dyDescent="0.25">
      <c r="C39" s="42" t="s">
        <v>182</v>
      </c>
      <c r="D39" s="46">
        <f>SUM(D35:D37)</f>
        <v>0</v>
      </c>
      <c r="E39" s="46">
        <f t="shared" ref="E39:I39" si="2">SUM(E35:E37)</f>
        <v>-11866000</v>
      </c>
      <c r="F39" s="46">
        <f t="shared" si="2"/>
        <v>17725000</v>
      </c>
      <c r="G39" s="46">
        <f t="shared" si="2"/>
        <v>48119000</v>
      </c>
      <c r="H39" s="46">
        <f t="shared" si="2"/>
        <v>79439000</v>
      </c>
      <c r="I39" s="46">
        <f t="shared" si="2"/>
        <v>113735000</v>
      </c>
    </row>
    <row r="40" spans="2:9" ht="2.25" customHeight="1" x14ac:dyDescent="0.25">
      <c r="D40" s="45"/>
      <c r="E40" s="45"/>
      <c r="F40" s="45"/>
      <c r="G40" s="45"/>
      <c r="H40" s="45"/>
      <c r="I40" s="45"/>
    </row>
    <row r="41" spans="2:9" x14ac:dyDescent="0.25">
      <c r="C41" s="42" t="s">
        <v>231</v>
      </c>
      <c r="I41" s="65">
        <f>ROUND(I39*(1+D11)/(D13), -3)</f>
        <v>631173000</v>
      </c>
    </row>
    <row r="42" spans="2:9" s="43" customFormat="1" ht="15.75" thickBot="1" x14ac:dyDescent="0.3">
      <c r="B42" s="43" t="s">
        <v>232</v>
      </c>
      <c r="D42" s="145"/>
      <c r="E42" s="146">
        <f>E39+E41</f>
        <v>-11866000</v>
      </c>
      <c r="F42" s="146">
        <f t="shared" ref="F42:I42" si="3">F39+F41</f>
        <v>17725000</v>
      </c>
      <c r="G42" s="146">
        <f t="shared" si="3"/>
        <v>48119000</v>
      </c>
      <c r="H42" s="146">
        <f t="shared" si="3"/>
        <v>79439000</v>
      </c>
      <c r="I42" s="146">
        <f t="shared" si="3"/>
        <v>744908000</v>
      </c>
    </row>
    <row r="43" spans="2:9" ht="15.75" thickTop="1" x14ac:dyDescent="0.25"/>
    <row r="44" spans="2:9" x14ac:dyDescent="0.25">
      <c r="C44" s="42" t="s">
        <v>233</v>
      </c>
      <c r="F44" s="42"/>
    </row>
    <row r="45" spans="2:9" x14ac:dyDescent="0.25">
      <c r="F45" s="77"/>
    </row>
    <row r="46" spans="2:9" x14ac:dyDescent="0.25">
      <c r="D46" s="42"/>
      <c r="E46" s="42"/>
      <c r="F46" s="77"/>
    </row>
    <row r="47" spans="2:9" x14ac:dyDescent="0.25">
      <c r="C47" s="43" t="s">
        <v>250</v>
      </c>
      <c r="D47" s="42"/>
      <c r="E47" s="183">
        <f>ROUND(NPV(D22,E42:J42), -3)</f>
        <v>423472000</v>
      </c>
    </row>
    <row r="48" spans="2:9" x14ac:dyDescent="0.25">
      <c r="C48" s="42" t="s">
        <v>251</v>
      </c>
      <c r="D48" s="42"/>
      <c r="E48" s="184">
        <f>BalSheet!D15</f>
        <v>103000</v>
      </c>
      <c r="G48" s="65"/>
    </row>
    <row r="49" spans="3:9" x14ac:dyDescent="0.25">
      <c r="C49" s="136" t="s">
        <v>252</v>
      </c>
      <c r="D49" s="136"/>
      <c r="E49" s="185">
        <f>-BalSheet!D25</f>
        <v>-9784000</v>
      </c>
      <c r="G49" s="65"/>
      <c r="H49" s="66"/>
    </row>
    <row r="50" spans="3:9" x14ac:dyDescent="0.25">
      <c r="C50" s="43" t="s">
        <v>253</v>
      </c>
      <c r="D50" s="43"/>
      <c r="E50" s="186">
        <f>SUM(E47:E49)</f>
        <v>413791000</v>
      </c>
      <c r="G50" s="65"/>
      <c r="H50" s="66"/>
    </row>
    <row r="51" spans="3:9" x14ac:dyDescent="0.25">
      <c r="D51" s="42"/>
      <c r="E51" s="55"/>
      <c r="G51" s="65"/>
      <c r="H51" s="66"/>
    </row>
    <row r="52" spans="3:9" x14ac:dyDescent="0.25">
      <c r="C52" s="42" t="s">
        <v>254</v>
      </c>
      <c r="D52" s="42"/>
      <c r="E52" s="50">
        <f>'Ass &amp; ScenarioAnalysis'!C61</f>
        <v>100000000</v>
      </c>
    </row>
    <row r="53" spans="3:9" s="43" customFormat="1" ht="15.75" thickBot="1" x14ac:dyDescent="0.3">
      <c r="C53" s="187" t="s">
        <v>255</v>
      </c>
      <c r="D53" s="187"/>
      <c r="E53" s="188">
        <f>E50/E52</f>
        <v>4.1379099999999998</v>
      </c>
      <c r="F53" s="67"/>
      <c r="G53" s="74"/>
      <c r="H53" s="67"/>
      <c r="I53" s="67"/>
    </row>
    <row r="54" spans="3:9" s="43" customFormat="1" ht="15.75" thickTop="1" x14ac:dyDescent="0.25">
      <c r="F54" s="67"/>
      <c r="G54" s="74"/>
      <c r="H54" s="67"/>
      <c r="I54" s="67"/>
    </row>
    <row r="55" spans="3:9" s="43" customFormat="1" x14ac:dyDescent="0.25">
      <c r="F55" s="67"/>
      <c r="G55" s="74"/>
      <c r="H55" s="67"/>
      <c r="I55" s="67"/>
    </row>
    <row r="56" spans="3:9" s="43" customFormat="1" x14ac:dyDescent="0.25">
      <c r="F56" s="67"/>
      <c r="G56" s="74"/>
      <c r="H56" s="67"/>
      <c r="I56" s="67"/>
    </row>
    <row r="57" spans="3:9" s="43" customFormat="1" x14ac:dyDescent="0.25">
      <c r="D57" s="118"/>
      <c r="E57" s="67"/>
      <c r="F57" s="67"/>
      <c r="G57" s="74"/>
      <c r="H57" s="67"/>
      <c r="I57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>
      <pane ySplit="1" topLeftCell="A4" activePane="bottomLeft" state="frozen"/>
      <selection pane="bottomLeft" activeCell="G20" sqref="G20"/>
    </sheetView>
  </sheetViews>
  <sheetFormatPr defaultColWidth="15.28515625" defaultRowHeight="15" x14ac:dyDescent="0.25"/>
  <cols>
    <col min="1" max="16384" width="15.28515625" style="42"/>
  </cols>
  <sheetData>
    <row r="1" spans="1:10" s="190" customFormat="1" ht="30" x14ac:dyDescent="0.25">
      <c r="A1" s="190" t="s">
        <v>257</v>
      </c>
      <c r="B1" s="190" t="s">
        <v>258</v>
      </c>
      <c r="C1" s="190" t="s">
        <v>259</v>
      </c>
      <c r="D1" s="190" t="s">
        <v>258</v>
      </c>
      <c r="E1" s="190" t="s">
        <v>260</v>
      </c>
    </row>
    <row r="2" spans="1:10" x14ac:dyDescent="0.25">
      <c r="A2" s="42" t="s">
        <v>261</v>
      </c>
      <c r="B2" s="191">
        <v>28871.93</v>
      </c>
      <c r="C2" s="192">
        <v>1.5299999999999999E-2</v>
      </c>
      <c r="D2" s="42">
        <v>108.9</v>
      </c>
      <c r="E2" s="192">
        <v>0.1</v>
      </c>
    </row>
    <row r="3" spans="1:10" x14ac:dyDescent="0.25">
      <c r="A3" s="42" t="s">
        <v>262</v>
      </c>
      <c r="B3" s="191">
        <v>29373.4</v>
      </c>
      <c r="C3" s="192">
        <v>1.7399999999999999E-2</v>
      </c>
      <c r="D3" s="42">
        <v>119.75</v>
      </c>
      <c r="E3" s="192">
        <v>9.9599999999999994E-2</v>
      </c>
    </row>
    <row r="4" spans="1:10" x14ac:dyDescent="0.25">
      <c r="A4" s="42" t="s">
        <v>263</v>
      </c>
      <c r="B4" s="191">
        <v>30218.14</v>
      </c>
      <c r="C4" s="192">
        <v>2.8799999999999999E-2</v>
      </c>
      <c r="D4" s="42">
        <v>131.69999999999999</v>
      </c>
      <c r="E4" s="192">
        <v>9.98E-2</v>
      </c>
      <c r="G4" s="42" t="s">
        <v>354</v>
      </c>
    </row>
    <row r="5" spans="1:10" x14ac:dyDescent="0.25">
      <c r="A5" s="42" t="s">
        <v>264</v>
      </c>
      <c r="B5" s="191">
        <v>31145.15</v>
      </c>
      <c r="C5" s="192">
        <v>3.0700000000000002E-2</v>
      </c>
      <c r="D5" s="42">
        <v>144.85</v>
      </c>
      <c r="E5" s="192">
        <v>9.98E-2</v>
      </c>
      <c r="G5" s="119"/>
      <c r="H5" s="196"/>
      <c r="I5" s="211" t="s">
        <v>346</v>
      </c>
      <c r="J5" s="211" t="s">
        <v>347</v>
      </c>
    </row>
    <row r="6" spans="1:10" x14ac:dyDescent="0.25">
      <c r="A6" s="42" t="s">
        <v>265</v>
      </c>
      <c r="B6" s="191">
        <v>31477.51</v>
      </c>
      <c r="C6" s="192">
        <v>1.0699999999999999E-2</v>
      </c>
      <c r="D6" s="42">
        <v>149</v>
      </c>
      <c r="E6" s="192">
        <v>2.87E-2</v>
      </c>
      <c r="G6" s="122" t="s">
        <v>348</v>
      </c>
      <c r="H6" s="85"/>
      <c r="I6" s="212">
        <f>_xlfn.COVARIANCE.P(C3:C86,E3:E86/_xlfn.VAR.P(C3:C86))</f>
        <v>1.952825630757683</v>
      </c>
      <c r="J6" s="213">
        <f>SLOPE(E3:E86,C3:C86)</f>
        <v>1.952825630757681</v>
      </c>
    </row>
    <row r="7" spans="1:10" x14ac:dyDescent="0.25">
      <c r="A7" s="42" t="s">
        <v>266</v>
      </c>
      <c r="B7" s="191">
        <v>30881.29</v>
      </c>
      <c r="C7" s="192">
        <v>-1.89E-2</v>
      </c>
      <c r="D7" s="42">
        <v>140</v>
      </c>
      <c r="E7" s="192">
        <v>-6.0400000000000002E-2</v>
      </c>
      <c r="G7" s="122"/>
      <c r="H7" s="85"/>
      <c r="I7" s="85"/>
      <c r="J7" s="197"/>
    </row>
    <row r="8" spans="1:10" x14ac:dyDescent="0.25">
      <c r="A8" s="42" t="s">
        <v>267</v>
      </c>
      <c r="B8" s="191">
        <v>30194.71</v>
      </c>
      <c r="C8" s="192">
        <v>-2.2200000000000001E-2</v>
      </c>
      <c r="D8" s="42">
        <v>130</v>
      </c>
      <c r="E8" s="192">
        <v>-7.1400000000000005E-2</v>
      </c>
      <c r="G8" s="122"/>
      <c r="H8" s="85"/>
      <c r="I8" s="85"/>
      <c r="J8" s="197"/>
    </row>
    <row r="9" spans="1:10" x14ac:dyDescent="0.25">
      <c r="A9" s="42" t="s">
        <v>268</v>
      </c>
      <c r="B9" s="191">
        <v>31307</v>
      </c>
      <c r="C9" s="192">
        <v>3.6799999999999999E-2</v>
      </c>
      <c r="D9" s="42">
        <v>132.55000000000001</v>
      </c>
      <c r="E9" s="192">
        <v>1.9599999999999999E-2</v>
      </c>
      <c r="G9" s="122" t="s">
        <v>349</v>
      </c>
      <c r="H9" s="85"/>
      <c r="I9" s="198">
        <v>101302.33</v>
      </c>
      <c r="J9" s="197"/>
    </row>
    <row r="10" spans="1:10" x14ac:dyDescent="0.25">
      <c r="A10" s="42" t="s">
        <v>269</v>
      </c>
      <c r="B10" s="191">
        <v>31254.19</v>
      </c>
      <c r="C10" s="192">
        <v>-1.6999999999999999E-3</v>
      </c>
      <c r="D10" s="42">
        <v>136</v>
      </c>
      <c r="E10" s="192">
        <v>2.5999999999999999E-2</v>
      </c>
      <c r="G10" s="122" t="s">
        <v>350</v>
      </c>
      <c r="H10" s="85"/>
      <c r="I10" s="199">
        <v>810796.1</v>
      </c>
      <c r="J10" s="197"/>
    </row>
    <row r="11" spans="1:10" x14ac:dyDescent="0.25">
      <c r="A11" s="42" t="s">
        <v>270</v>
      </c>
      <c r="B11" s="191">
        <v>31069.37</v>
      </c>
      <c r="C11" s="192">
        <v>-5.8999999999999999E-3</v>
      </c>
      <c r="D11" s="42">
        <v>136.5</v>
      </c>
      <c r="E11" s="192">
        <v>3.7000000000000002E-3</v>
      </c>
      <c r="G11" s="122"/>
      <c r="H11" s="85"/>
      <c r="I11" s="85"/>
      <c r="J11" s="197"/>
    </row>
    <row r="12" spans="1:10" x14ac:dyDescent="0.25">
      <c r="A12" s="42" t="s">
        <v>271</v>
      </c>
      <c r="B12" s="191">
        <v>30928.29</v>
      </c>
      <c r="C12" s="192">
        <v>-4.4999999999999997E-3</v>
      </c>
      <c r="D12" s="42">
        <v>136.6</v>
      </c>
      <c r="E12" s="192">
        <v>6.9999999999999999E-4</v>
      </c>
      <c r="G12" s="122" t="s">
        <v>352</v>
      </c>
      <c r="H12" s="85"/>
      <c r="I12" s="85">
        <f>I10/I9</f>
        <v>8.0037260742176404</v>
      </c>
      <c r="J12" s="197"/>
    </row>
    <row r="13" spans="1:10" x14ac:dyDescent="0.25">
      <c r="A13" s="42" t="s">
        <v>272</v>
      </c>
      <c r="B13" s="191">
        <v>30527.07</v>
      </c>
      <c r="C13" s="192">
        <v>-1.2999999999999999E-2</v>
      </c>
      <c r="D13" s="42">
        <v>136.94999999999999</v>
      </c>
      <c r="E13" s="192">
        <v>2.5999999999999999E-3</v>
      </c>
      <c r="G13" s="122"/>
      <c r="H13" s="85"/>
      <c r="I13" s="200"/>
      <c r="J13" s="197"/>
    </row>
    <row r="14" spans="1:10" x14ac:dyDescent="0.25">
      <c r="A14" s="42" t="s">
        <v>273</v>
      </c>
      <c r="B14" s="191">
        <v>30432.13</v>
      </c>
      <c r="C14" s="192">
        <v>-3.0999999999999999E-3</v>
      </c>
      <c r="D14" s="42">
        <v>136.5</v>
      </c>
      <c r="E14" s="192">
        <v>-3.3E-3</v>
      </c>
      <c r="G14" s="122" t="s">
        <v>351</v>
      </c>
      <c r="H14" s="85"/>
      <c r="I14" s="201">
        <v>0.3</v>
      </c>
      <c r="J14" s="202"/>
    </row>
    <row r="15" spans="1:10" x14ac:dyDescent="0.25">
      <c r="A15" s="42" t="s">
        <v>274</v>
      </c>
      <c r="B15" s="191">
        <v>30322.19</v>
      </c>
      <c r="C15" s="192">
        <v>-3.5999999999999999E-3</v>
      </c>
      <c r="D15" s="42">
        <v>136</v>
      </c>
      <c r="E15" s="192">
        <v>-3.7000000000000002E-3</v>
      </c>
      <c r="G15" s="122"/>
      <c r="H15" s="85"/>
      <c r="I15" s="199"/>
      <c r="J15" s="197"/>
    </row>
    <row r="16" spans="1:10" x14ac:dyDescent="0.25">
      <c r="A16" s="42" t="s">
        <v>275</v>
      </c>
      <c r="B16" s="191">
        <v>30099.83</v>
      </c>
      <c r="C16" s="192">
        <v>-7.3000000000000001E-3</v>
      </c>
      <c r="D16" s="42">
        <v>135</v>
      </c>
      <c r="E16" s="192">
        <v>-7.4000000000000003E-3</v>
      </c>
      <c r="G16" s="122"/>
      <c r="H16" s="85"/>
      <c r="I16" s="203"/>
      <c r="J16" s="197"/>
    </row>
    <row r="17" spans="1:10" x14ac:dyDescent="0.25">
      <c r="A17" s="42" t="s">
        <v>276</v>
      </c>
      <c r="B17" s="191">
        <v>30029.15</v>
      </c>
      <c r="C17" s="192">
        <v>-2.3E-3</v>
      </c>
      <c r="D17" s="42">
        <v>135.1</v>
      </c>
      <c r="E17" s="192">
        <v>6.9999999999999999E-4</v>
      </c>
      <c r="G17" s="124" t="s">
        <v>353</v>
      </c>
      <c r="H17" s="136"/>
      <c r="I17" s="204">
        <f>J6/(1+((1-I14)*I12))</f>
        <v>0.295765787737027</v>
      </c>
      <c r="J17" s="205"/>
    </row>
    <row r="18" spans="1:10" x14ac:dyDescent="0.25">
      <c r="A18" s="42" t="s">
        <v>277</v>
      </c>
      <c r="B18" s="191">
        <v>30046.7</v>
      </c>
      <c r="C18" s="192">
        <v>5.9999999999999995E-4</v>
      </c>
      <c r="D18" s="42">
        <v>135.6</v>
      </c>
      <c r="E18" s="192">
        <v>3.7000000000000002E-3</v>
      </c>
    </row>
    <row r="19" spans="1:10" x14ac:dyDescent="0.25">
      <c r="A19" s="42" t="s">
        <v>278</v>
      </c>
      <c r="B19" s="191">
        <v>29936.33</v>
      </c>
      <c r="C19" s="192">
        <v>-3.7000000000000002E-3</v>
      </c>
      <c r="D19" s="42">
        <v>134</v>
      </c>
      <c r="E19" s="192">
        <v>-1.18E-2</v>
      </c>
      <c r="I19" s="193"/>
      <c r="J19" s="193"/>
    </row>
    <row r="20" spans="1:10" x14ac:dyDescent="0.25">
      <c r="A20" s="42" t="s">
        <v>279</v>
      </c>
      <c r="B20" s="191">
        <v>29818.799999999999</v>
      </c>
      <c r="C20" s="192">
        <v>-3.8999999999999998E-3</v>
      </c>
      <c r="D20" s="42">
        <v>133</v>
      </c>
      <c r="E20" s="192">
        <v>-7.4999999999999997E-3</v>
      </c>
    </row>
    <row r="21" spans="1:10" x14ac:dyDescent="0.25">
      <c r="A21" s="42" t="s">
        <v>280</v>
      </c>
      <c r="B21" s="191">
        <v>29772.720000000001</v>
      </c>
      <c r="C21" s="192">
        <v>-1.5E-3</v>
      </c>
      <c r="D21" s="42">
        <v>132</v>
      </c>
      <c r="E21" s="192">
        <v>-7.4999999999999997E-3</v>
      </c>
      <c r="G21" s="42" t="s">
        <v>359</v>
      </c>
      <c r="I21" s="194">
        <f>'DCF Valuation'!D19/'DCF Valuation'!E19</f>
        <v>1.5476115153432457</v>
      </c>
    </row>
    <row r="22" spans="1:10" x14ac:dyDescent="0.25">
      <c r="A22" s="42" t="s">
        <v>281</v>
      </c>
      <c r="B22" s="191">
        <v>29765.31</v>
      </c>
      <c r="C22" s="192">
        <v>-2.0000000000000001E-4</v>
      </c>
      <c r="D22" s="42">
        <v>130</v>
      </c>
      <c r="E22" s="192">
        <v>-1.52E-2</v>
      </c>
      <c r="G22" s="42" t="s">
        <v>351</v>
      </c>
      <c r="I22" s="195">
        <f>'Ass &amp; ScenarioAnalysis'!C52</f>
        <v>0.3</v>
      </c>
    </row>
    <row r="23" spans="1:10" x14ac:dyDescent="0.25">
      <c r="A23" s="42" t="s">
        <v>282</v>
      </c>
      <c r="B23" s="191">
        <v>29851.29</v>
      </c>
      <c r="C23" s="192">
        <v>2.8999999999999998E-3</v>
      </c>
      <c r="D23" s="42">
        <v>130</v>
      </c>
      <c r="E23" s="192">
        <v>0</v>
      </c>
      <c r="G23" s="42" t="s">
        <v>360</v>
      </c>
      <c r="I23" s="194">
        <f>I17*(1+(1-I22)*I21)</f>
        <v>0.61617716499949948</v>
      </c>
    </row>
    <row r="24" spans="1:10" x14ac:dyDescent="0.25">
      <c r="A24" s="42" t="s">
        <v>283</v>
      </c>
      <c r="B24" s="191">
        <v>29809.200000000001</v>
      </c>
      <c r="C24" s="192">
        <v>-1.4E-3</v>
      </c>
      <c r="D24" s="42">
        <v>130</v>
      </c>
      <c r="E24" s="192">
        <v>0</v>
      </c>
    </row>
    <row r="25" spans="1:10" x14ac:dyDescent="0.25">
      <c r="A25" s="42" t="s">
        <v>284</v>
      </c>
      <c r="B25" s="191">
        <v>29668.68</v>
      </c>
      <c r="C25" s="192">
        <v>-4.7000000000000002E-3</v>
      </c>
      <c r="D25" s="42">
        <v>129</v>
      </c>
      <c r="E25" s="192">
        <v>-7.7000000000000002E-3</v>
      </c>
    </row>
    <row r="26" spans="1:10" x14ac:dyDescent="0.25">
      <c r="A26" s="42" t="s">
        <v>285</v>
      </c>
      <c r="B26" s="191">
        <v>29609</v>
      </c>
      <c r="C26" s="192">
        <v>-2E-3</v>
      </c>
      <c r="D26" s="42">
        <v>128.5</v>
      </c>
      <c r="E26" s="192">
        <v>-3.8999999999999998E-3</v>
      </c>
    </row>
    <row r="27" spans="1:10" x14ac:dyDescent="0.25">
      <c r="A27" s="42" t="s">
        <v>286</v>
      </c>
      <c r="B27" s="191">
        <v>29749.35</v>
      </c>
      <c r="C27" s="192">
        <v>4.7000000000000002E-3</v>
      </c>
      <c r="D27" s="42">
        <v>129</v>
      </c>
      <c r="E27" s="192">
        <v>3.8999999999999998E-3</v>
      </c>
    </row>
    <row r="28" spans="1:10" x14ac:dyDescent="0.25">
      <c r="A28" s="42" t="s">
        <v>287</v>
      </c>
      <c r="B28" s="191">
        <v>29966.87</v>
      </c>
      <c r="C28" s="192">
        <v>7.3000000000000001E-3</v>
      </c>
      <c r="D28" s="42">
        <v>129.05000000000001</v>
      </c>
      <c r="E28" s="192">
        <v>4.0000000000000002E-4</v>
      </c>
    </row>
    <row r="29" spans="1:10" x14ac:dyDescent="0.25">
      <c r="A29" s="42" t="s">
        <v>288</v>
      </c>
      <c r="B29" s="191">
        <v>29614.61</v>
      </c>
      <c r="C29" s="192">
        <v>-1.18E-2</v>
      </c>
      <c r="D29" s="42">
        <v>129.5</v>
      </c>
      <c r="E29" s="192">
        <v>3.5000000000000001E-3</v>
      </c>
    </row>
    <row r="30" spans="1:10" x14ac:dyDescent="0.25">
      <c r="A30" s="42" t="s">
        <v>289</v>
      </c>
      <c r="B30" s="191">
        <v>29395.14</v>
      </c>
      <c r="C30" s="192">
        <v>-7.4000000000000003E-3</v>
      </c>
      <c r="D30" s="42">
        <v>129.05000000000001</v>
      </c>
      <c r="E30" s="192">
        <v>-3.5000000000000001E-3</v>
      </c>
    </row>
    <row r="31" spans="1:10" x14ac:dyDescent="0.25">
      <c r="A31" s="42" t="s">
        <v>290</v>
      </c>
      <c r="B31" s="191">
        <v>29375.25</v>
      </c>
      <c r="C31" s="192">
        <v>-6.9999999999999999E-4</v>
      </c>
      <c r="D31" s="42">
        <v>129.05000000000001</v>
      </c>
      <c r="E31" s="192">
        <v>0</v>
      </c>
    </row>
    <row r="32" spans="1:10" x14ac:dyDescent="0.25">
      <c r="A32" s="42" t="s">
        <v>291</v>
      </c>
      <c r="B32" s="191">
        <v>29300.09</v>
      </c>
      <c r="C32" s="192">
        <v>-2.5999999999999999E-3</v>
      </c>
      <c r="D32" s="42">
        <v>129</v>
      </c>
      <c r="E32" s="192">
        <v>-4.0000000000000002E-4</v>
      </c>
    </row>
    <row r="33" spans="1:5" x14ac:dyDescent="0.25">
      <c r="A33" s="42" t="s">
        <v>292</v>
      </c>
      <c r="B33" s="191">
        <v>29270.95</v>
      </c>
      <c r="C33" s="192">
        <v>-1E-3</v>
      </c>
      <c r="D33" s="42">
        <v>129</v>
      </c>
      <c r="E33" s="192">
        <v>0</v>
      </c>
    </row>
    <row r="34" spans="1:5" x14ac:dyDescent="0.25">
      <c r="A34" s="42" t="s">
        <v>293</v>
      </c>
      <c r="B34" s="191">
        <v>29287.87</v>
      </c>
      <c r="C34" s="192">
        <v>5.9999999999999995E-4</v>
      </c>
      <c r="D34" s="42">
        <v>129.44999999999999</v>
      </c>
      <c r="E34" s="192">
        <v>3.5000000000000001E-3</v>
      </c>
    </row>
    <row r="35" spans="1:5" x14ac:dyDescent="0.25">
      <c r="A35" s="42" t="s">
        <v>294</v>
      </c>
      <c r="B35" s="191">
        <v>29318.85</v>
      </c>
      <c r="C35" s="192">
        <v>1.1000000000000001E-3</v>
      </c>
      <c r="D35" s="42">
        <v>129.05000000000001</v>
      </c>
      <c r="E35" s="192">
        <v>-3.0999999999999999E-3</v>
      </c>
    </row>
    <row r="36" spans="1:5" x14ac:dyDescent="0.25">
      <c r="A36" s="42" t="s">
        <v>295</v>
      </c>
      <c r="B36" s="191">
        <v>29256.6</v>
      </c>
      <c r="C36" s="192">
        <v>-2.0999999999999999E-3</v>
      </c>
      <c r="D36" s="42">
        <v>133</v>
      </c>
      <c r="E36" s="192">
        <v>3.0599999999999999E-2</v>
      </c>
    </row>
    <row r="37" spans="1:5" x14ac:dyDescent="0.25">
      <c r="A37" s="42" t="s">
        <v>296</v>
      </c>
      <c r="B37" s="191">
        <v>28712.9</v>
      </c>
      <c r="C37" s="192">
        <v>-1.8599999999999998E-2</v>
      </c>
      <c r="D37" s="42">
        <v>130</v>
      </c>
      <c r="E37" s="192">
        <v>-2.2599999999999999E-2</v>
      </c>
    </row>
    <row r="38" spans="1:5" x14ac:dyDescent="0.25">
      <c r="A38" s="42" t="s">
        <v>297</v>
      </c>
      <c r="B38" s="191">
        <v>28566.79</v>
      </c>
      <c r="C38" s="192">
        <v>-5.1000000000000004E-3</v>
      </c>
      <c r="D38" s="42">
        <v>129.65</v>
      </c>
      <c r="E38" s="192">
        <v>-2.7000000000000001E-3</v>
      </c>
    </row>
    <row r="39" spans="1:5" x14ac:dyDescent="0.25">
      <c r="A39" s="42" t="s">
        <v>298</v>
      </c>
      <c r="B39" s="191">
        <v>28341.03</v>
      </c>
      <c r="C39" s="192">
        <v>-7.9000000000000008E-3</v>
      </c>
      <c r="D39" s="42">
        <v>129</v>
      </c>
      <c r="E39" s="192">
        <v>-5.0000000000000001E-3</v>
      </c>
    </row>
    <row r="40" spans="1:5" x14ac:dyDescent="0.25">
      <c r="A40" s="42" t="s">
        <v>299</v>
      </c>
      <c r="B40" s="191">
        <v>28200.880000000001</v>
      </c>
      <c r="C40" s="192">
        <v>-4.8999999999999998E-3</v>
      </c>
      <c r="D40" s="42">
        <v>128</v>
      </c>
      <c r="E40" s="192">
        <v>-7.7999999999999996E-3</v>
      </c>
    </row>
    <row r="41" spans="1:5" x14ac:dyDescent="0.25">
      <c r="A41" s="42" t="s">
        <v>300</v>
      </c>
      <c r="B41" s="191">
        <v>28042.799999999999</v>
      </c>
      <c r="C41" s="192">
        <v>-5.5999999999999999E-3</v>
      </c>
      <c r="D41" s="42">
        <v>128</v>
      </c>
      <c r="E41" s="192">
        <v>0</v>
      </c>
    </row>
    <row r="42" spans="1:5" x14ac:dyDescent="0.25">
      <c r="A42" s="42" t="s">
        <v>301</v>
      </c>
      <c r="B42" s="191">
        <v>27864.49</v>
      </c>
      <c r="C42" s="192">
        <v>-6.4000000000000003E-3</v>
      </c>
      <c r="D42" s="42">
        <v>127</v>
      </c>
      <c r="E42" s="192">
        <v>-7.7999999999999996E-3</v>
      </c>
    </row>
    <row r="43" spans="1:5" x14ac:dyDescent="0.25">
      <c r="A43" s="42" t="s">
        <v>302</v>
      </c>
      <c r="B43" s="191">
        <v>27919.5</v>
      </c>
      <c r="C43" s="192">
        <v>2E-3</v>
      </c>
      <c r="D43" s="42">
        <v>128</v>
      </c>
      <c r="E43" s="192">
        <v>7.9000000000000008E-3</v>
      </c>
    </row>
    <row r="44" spans="1:5" x14ac:dyDescent="0.25">
      <c r="A44" s="42" t="s">
        <v>303</v>
      </c>
      <c r="B44" s="191">
        <v>27808.69</v>
      </c>
      <c r="C44" s="192">
        <v>-4.0000000000000001E-3</v>
      </c>
      <c r="D44" s="42">
        <v>126</v>
      </c>
      <c r="E44" s="192">
        <v>-1.5599999999999999E-2</v>
      </c>
    </row>
    <row r="45" spans="1:5" x14ac:dyDescent="0.25">
      <c r="A45" s="42" t="s">
        <v>304</v>
      </c>
      <c r="B45" s="191">
        <v>28144.87</v>
      </c>
      <c r="C45" s="192">
        <v>1.21E-2</v>
      </c>
      <c r="D45" s="42">
        <v>127</v>
      </c>
      <c r="E45" s="192">
        <v>7.9000000000000008E-3</v>
      </c>
    </row>
    <row r="46" spans="1:5" x14ac:dyDescent="0.25">
      <c r="A46" s="42" t="s">
        <v>305</v>
      </c>
      <c r="B46" s="191">
        <v>28088.74</v>
      </c>
      <c r="C46" s="192">
        <v>-2E-3</v>
      </c>
      <c r="D46" s="42">
        <v>127</v>
      </c>
      <c r="E46" s="192">
        <v>0</v>
      </c>
    </row>
    <row r="47" spans="1:5" x14ac:dyDescent="0.25">
      <c r="A47" s="42" t="s">
        <v>306</v>
      </c>
      <c r="B47" s="191">
        <v>27990.61</v>
      </c>
      <c r="C47" s="192">
        <v>-3.5000000000000001E-3</v>
      </c>
      <c r="D47" s="42">
        <v>125</v>
      </c>
      <c r="E47" s="192">
        <v>-1.5699999999999999E-2</v>
      </c>
    </row>
    <row r="48" spans="1:5" x14ac:dyDescent="0.25">
      <c r="A48" s="42" t="s">
        <v>307</v>
      </c>
      <c r="B48" s="191">
        <v>27918.59</v>
      </c>
      <c r="C48" s="192">
        <v>-2.5999999999999999E-3</v>
      </c>
      <c r="D48" s="42">
        <v>127</v>
      </c>
      <c r="E48" s="192">
        <v>1.6E-2</v>
      </c>
    </row>
    <row r="49" spans="1:5" x14ac:dyDescent="0.25">
      <c r="A49" s="42" t="s">
        <v>308</v>
      </c>
      <c r="B49" s="191">
        <v>27950.36</v>
      </c>
      <c r="C49" s="192">
        <v>1.1000000000000001E-3</v>
      </c>
      <c r="D49" s="42">
        <v>127</v>
      </c>
      <c r="E49" s="192">
        <v>0</v>
      </c>
    </row>
    <row r="50" spans="1:5" x14ac:dyDescent="0.25">
      <c r="A50" s="42" t="s">
        <v>309</v>
      </c>
      <c r="B50" s="191">
        <v>27820.57</v>
      </c>
      <c r="C50" s="192">
        <v>-4.5999999999999999E-3</v>
      </c>
      <c r="D50" s="42">
        <v>127</v>
      </c>
      <c r="E50" s="192">
        <v>0</v>
      </c>
    </row>
    <row r="51" spans="1:5" x14ac:dyDescent="0.25">
      <c r="A51" s="42" t="s">
        <v>310</v>
      </c>
      <c r="B51" s="191">
        <v>27718.26</v>
      </c>
      <c r="C51" s="192">
        <v>-3.7000000000000002E-3</v>
      </c>
      <c r="D51" s="42">
        <v>127</v>
      </c>
      <c r="E51" s="192">
        <v>0</v>
      </c>
    </row>
    <row r="52" spans="1:5" x14ac:dyDescent="0.25">
      <c r="A52" s="42" t="s">
        <v>311</v>
      </c>
      <c r="B52" s="191">
        <v>27748.46</v>
      </c>
      <c r="C52" s="192">
        <v>1.1000000000000001E-3</v>
      </c>
      <c r="D52" s="42">
        <v>129.05000000000001</v>
      </c>
      <c r="E52" s="192">
        <v>1.61E-2</v>
      </c>
    </row>
    <row r="53" spans="1:5" x14ac:dyDescent="0.25">
      <c r="A53" s="42" t="s">
        <v>312</v>
      </c>
      <c r="B53" s="191">
        <v>27630.46</v>
      </c>
      <c r="C53" s="192">
        <v>-4.3E-3</v>
      </c>
      <c r="D53" s="42">
        <v>127</v>
      </c>
      <c r="E53" s="192">
        <v>-1.5900000000000001E-2</v>
      </c>
    </row>
    <row r="54" spans="1:5" x14ac:dyDescent="0.25">
      <c r="A54" s="42" t="s">
        <v>313</v>
      </c>
      <c r="B54" s="191">
        <v>27669.38</v>
      </c>
      <c r="C54" s="192">
        <v>1.4E-3</v>
      </c>
      <c r="D54" s="42">
        <v>128.25</v>
      </c>
      <c r="E54" s="192">
        <v>9.7999999999999997E-3</v>
      </c>
    </row>
    <row r="55" spans="1:5" x14ac:dyDescent="0.25">
      <c r="A55" s="42" t="s">
        <v>314</v>
      </c>
      <c r="B55" s="191">
        <v>27527.4</v>
      </c>
      <c r="C55" s="192">
        <v>-5.1000000000000004E-3</v>
      </c>
      <c r="D55" s="42">
        <v>128</v>
      </c>
      <c r="E55" s="192">
        <v>-1.9E-3</v>
      </c>
    </row>
    <row r="56" spans="1:5" x14ac:dyDescent="0.25">
      <c r="A56" s="42" t="s">
        <v>315</v>
      </c>
      <c r="B56" s="191">
        <v>27412.13</v>
      </c>
      <c r="C56" s="192">
        <v>-4.1999999999999997E-3</v>
      </c>
      <c r="D56" s="42">
        <v>128.30000000000001</v>
      </c>
      <c r="E56" s="192">
        <v>2.3E-3</v>
      </c>
    </row>
    <row r="57" spans="1:5" x14ac:dyDescent="0.25">
      <c r="A57" s="42" t="s">
        <v>316</v>
      </c>
      <c r="B57" s="191">
        <v>27424.92</v>
      </c>
      <c r="C57" s="192">
        <v>5.0000000000000001E-4</v>
      </c>
      <c r="D57" s="42">
        <v>132.5</v>
      </c>
      <c r="E57" s="192">
        <v>3.27E-2</v>
      </c>
    </row>
    <row r="58" spans="1:5" x14ac:dyDescent="0.25">
      <c r="A58" s="42" t="s">
        <v>317</v>
      </c>
      <c r="B58" s="191">
        <v>27306.81</v>
      </c>
      <c r="C58" s="192">
        <v>-4.3E-3</v>
      </c>
      <c r="D58" s="42">
        <v>131</v>
      </c>
      <c r="E58" s="192">
        <v>-1.1299999999999999E-2</v>
      </c>
    </row>
    <row r="59" spans="1:5" x14ac:dyDescent="0.25">
      <c r="A59" s="42" t="s">
        <v>318</v>
      </c>
      <c r="B59" s="191">
        <v>27083.11</v>
      </c>
      <c r="C59" s="192">
        <v>-8.2000000000000007E-3</v>
      </c>
      <c r="D59" s="42">
        <v>129.25</v>
      </c>
      <c r="E59" s="192">
        <v>-1.34E-2</v>
      </c>
    </row>
    <row r="60" spans="1:5" x14ac:dyDescent="0.25">
      <c r="A60" s="42" t="s">
        <v>319</v>
      </c>
      <c r="B60" s="191">
        <v>27052.93</v>
      </c>
      <c r="C60" s="192">
        <v>-1.1000000000000001E-3</v>
      </c>
      <c r="D60" s="42">
        <v>135</v>
      </c>
      <c r="E60" s="192">
        <v>4.4499999999999998E-2</v>
      </c>
    </row>
    <row r="61" spans="1:5" x14ac:dyDescent="0.25">
      <c r="A61" s="42" t="s">
        <v>320</v>
      </c>
      <c r="B61" s="191">
        <v>26925.29</v>
      </c>
      <c r="C61" s="192">
        <v>-4.7000000000000002E-3</v>
      </c>
      <c r="D61" s="42">
        <v>135</v>
      </c>
      <c r="E61" s="192">
        <v>0</v>
      </c>
    </row>
    <row r="62" spans="1:5" x14ac:dyDescent="0.25">
      <c r="A62" s="42" t="s">
        <v>321</v>
      </c>
      <c r="B62" s="191">
        <v>27117.22</v>
      </c>
      <c r="C62" s="192">
        <v>7.1000000000000004E-3</v>
      </c>
      <c r="D62" s="42">
        <v>138.69999999999999</v>
      </c>
      <c r="E62" s="192">
        <v>2.7400000000000001E-2</v>
      </c>
    </row>
    <row r="63" spans="1:5" x14ac:dyDescent="0.25">
      <c r="A63" s="42" t="s">
        <v>322</v>
      </c>
      <c r="B63" s="191">
        <v>27058.62</v>
      </c>
      <c r="C63" s="192">
        <v>-2.2000000000000001E-3</v>
      </c>
      <c r="D63" s="42">
        <v>132.6</v>
      </c>
      <c r="E63" s="192">
        <v>-4.3999999999999997E-2</v>
      </c>
    </row>
    <row r="64" spans="1:5" x14ac:dyDescent="0.25">
      <c r="A64" s="42" t="s">
        <v>323</v>
      </c>
      <c r="B64" s="191">
        <v>27352.94</v>
      </c>
      <c r="C64" s="192">
        <v>1.09E-2</v>
      </c>
      <c r="D64" s="42">
        <v>136</v>
      </c>
      <c r="E64" s="192">
        <v>2.5600000000000001E-2</v>
      </c>
    </row>
    <row r="65" spans="1:5" x14ac:dyDescent="0.25">
      <c r="A65" s="42" t="s">
        <v>324</v>
      </c>
      <c r="B65" s="191">
        <v>27629.66</v>
      </c>
      <c r="C65" s="192">
        <v>1.01E-2</v>
      </c>
      <c r="D65" s="42">
        <v>138</v>
      </c>
      <c r="E65" s="192">
        <v>1.47E-2</v>
      </c>
    </row>
    <row r="66" spans="1:5" x14ac:dyDescent="0.25">
      <c r="A66" s="42" t="s">
        <v>325</v>
      </c>
      <c r="B66" s="191">
        <v>27800.17</v>
      </c>
      <c r="C66" s="192">
        <v>6.1999999999999998E-3</v>
      </c>
      <c r="D66" s="42">
        <v>137.94999999999999</v>
      </c>
      <c r="E66" s="192">
        <v>-4.0000000000000002E-4</v>
      </c>
    </row>
    <row r="67" spans="1:5" x14ac:dyDescent="0.25">
      <c r="A67" s="42" t="s">
        <v>326</v>
      </c>
      <c r="B67" s="191">
        <v>27691.85</v>
      </c>
      <c r="C67" s="192">
        <v>-3.8999999999999998E-3</v>
      </c>
      <c r="D67" s="42">
        <v>138</v>
      </c>
      <c r="E67" s="192">
        <v>4.0000000000000002E-4</v>
      </c>
    </row>
    <row r="68" spans="1:5" x14ac:dyDescent="0.25">
      <c r="A68" s="42" t="s">
        <v>327</v>
      </c>
      <c r="B68" s="191">
        <v>27602.77</v>
      </c>
      <c r="C68" s="192">
        <v>-3.2000000000000002E-3</v>
      </c>
      <c r="D68" s="42">
        <v>140.05000000000001</v>
      </c>
      <c r="E68" s="192">
        <v>1.49E-2</v>
      </c>
    </row>
    <row r="69" spans="1:5" x14ac:dyDescent="0.25">
      <c r="A69" s="42" t="s">
        <v>328</v>
      </c>
      <c r="B69" s="191">
        <v>27607.02</v>
      </c>
      <c r="C69" s="192">
        <v>2.0000000000000001E-4</v>
      </c>
      <c r="D69" s="42">
        <v>140.94999999999999</v>
      </c>
      <c r="E69" s="192">
        <v>6.4000000000000003E-3</v>
      </c>
    </row>
    <row r="70" spans="1:5" x14ac:dyDescent="0.25">
      <c r="A70" s="42" t="s">
        <v>329</v>
      </c>
      <c r="B70" s="191">
        <v>27425.57</v>
      </c>
      <c r="C70" s="192">
        <v>-6.6E-3</v>
      </c>
      <c r="D70" s="42">
        <v>138.85</v>
      </c>
      <c r="E70" s="192">
        <v>-1.49E-2</v>
      </c>
    </row>
    <row r="71" spans="1:5" x14ac:dyDescent="0.25">
      <c r="A71" s="42" t="s">
        <v>330</v>
      </c>
      <c r="B71" s="191">
        <v>27525.81</v>
      </c>
      <c r="C71" s="192">
        <v>3.7000000000000002E-3</v>
      </c>
      <c r="D71" s="42">
        <v>141</v>
      </c>
      <c r="E71" s="192">
        <v>1.55E-2</v>
      </c>
    </row>
    <row r="72" spans="1:5" x14ac:dyDescent="0.25">
      <c r="A72" s="42" t="s">
        <v>331</v>
      </c>
      <c r="B72" s="191">
        <v>27565.14</v>
      </c>
      <c r="C72" s="192">
        <v>1.4E-3</v>
      </c>
      <c r="D72" s="42">
        <v>138.5</v>
      </c>
      <c r="E72" s="192">
        <v>-1.77E-2</v>
      </c>
    </row>
    <row r="73" spans="1:5" x14ac:dyDescent="0.25">
      <c r="A73" s="42" t="s">
        <v>332</v>
      </c>
      <c r="B73" s="191">
        <v>27586.79</v>
      </c>
      <c r="C73" s="192">
        <v>8.0000000000000004E-4</v>
      </c>
      <c r="D73" s="42">
        <v>140</v>
      </c>
      <c r="E73" s="192">
        <v>1.0800000000000001E-2</v>
      </c>
    </row>
    <row r="74" spans="1:5" x14ac:dyDescent="0.25">
      <c r="A74" s="42" t="s">
        <v>333</v>
      </c>
      <c r="B74" s="191">
        <v>27319.64</v>
      </c>
      <c r="C74" s="192">
        <v>-9.7000000000000003E-3</v>
      </c>
      <c r="D74" s="42">
        <v>138.5</v>
      </c>
      <c r="E74" s="192">
        <v>-1.0699999999999999E-2</v>
      </c>
    </row>
    <row r="75" spans="1:5" x14ac:dyDescent="0.25">
      <c r="A75" s="42" t="s">
        <v>334</v>
      </c>
      <c r="B75" s="191">
        <v>27252.09</v>
      </c>
      <c r="C75" s="192">
        <v>-2.5000000000000001E-3</v>
      </c>
      <c r="D75" s="42">
        <v>138.05000000000001</v>
      </c>
      <c r="E75" s="192">
        <v>-3.2000000000000002E-3</v>
      </c>
    </row>
    <row r="76" spans="1:5" x14ac:dyDescent="0.25">
      <c r="A76" s="42" t="s">
        <v>335</v>
      </c>
      <c r="B76" s="191">
        <v>27146.57</v>
      </c>
      <c r="C76" s="192">
        <v>-3.8999999999999998E-3</v>
      </c>
      <c r="D76" s="42">
        <v>138</v>
      </c>
      <c r="E76" s="192">
        <v>-4.0000000000000002E-4</v>
      </c>
    </row>
    <row r="77" spans="1:5" x14ac:dyDescent="0.25">
      <c r="A77" s="42" t="s">
        <v>336</v>
      </c>
      <c r="B77" s="191">
        <v>27089.84</v>
      </c>
      <c r="C77" s="192">
        <v>-2.0999999999999999E-3</v>
      </c>
      <c r="D77" s="42">
        <v>138.05000000000001</v>
      </c>
      <c r="E77" s="192">
        <v>4.0000000000000002E-4</v>
      </c>
    </row>
    <row r="78" spans="1:5" x14ac:dyDescent="0.25">
      <c r="A78" s="42" t="s">
        <v>337</v>
      </c>
      <c r="B78" s="191">
        <v>27047.58</v>
      </c>
      <c r="C78" s="192">
        <v>-1.6000000000000001E-3</v>
      </c>
      <c r="D78" s="42">
        <v>138.5</v>
      </c>
      <c r="E78" s="192">
        <v>3.3E-3</v>
      </c>
    </row>
    <row r="79" spans="1:5" x14ac:dyDescent="0.25">
      <c r="A79" s="42" t="s">
        <v>338</v>
      </c>
      <c r="B79" s="191">
        <v>27153.53</v>
      </c>
      <c r="C79" s="192">
        <v>3.8999999999999998E-3</v>
      </c>
      <c r="D79" s="42">
        <v>138.5</v>
      </c>
      <c r="E79" s="192">
        <v>0</v>
      </c>
    </row>
    <row r="80" spans="1:5" x14ac:dyDescent="0.25">
      <c r="A80" s="42" t="s">
        <v>339</v>
      </c>
      <c r="B80" s="191">
        <v>27426.639999999999</v>
      </c>
      <c r="C80" s="192">
        <v>1.01E-2</v>
      </c>
      <c r="D80" s="42">
        <v>138.5</v>
      </c>
      <c r="E80" s="192">
        <v>0</v>
      </c>
    </row>
    <row r="81" spans="1:5" x14ac:dyDescent="0.25">
      <c r="A81" s="42" t="s">
        <v>340</v>
      </c>
      <c r="B81" s="191">
        <v>27779</v>
      </c>
      <c r="C81" s="192">
        <v>1.2800000000000001E-2</v>
      </c>
      <c r="D81" s="42">
        <v>139</v>
      </c>
      <c r="E81" s="192">
        <v>3.5999999999999999E-3</v>
      </c>
    </row>
    <row r="82" spans="1:5" x14ac:dyDescent="0.25">
      <c r="A82" s="42" t="s">
        <v>341</v>
      </c>
      <c r="B82" s="191">
        <v>27574.32</v>
      </c>
      <c r="C82" s="192">
        <v>-7.4000000000000003E-3</v>
      </c>
      <c r="D82" s="42">
        <v>139</v>
      </c>
      <c r="E82" s="192">
        <v>0</v>
      </c>
    </row>
    <row r="83" spans="1:5" x14ac:dyDescent="0.25">
      <c r="A83" s="42" t="s">
        <v>342</v>
      </c>
      <c r="B83" s="191">
        <v>27407.040000000001</v>
      </c>
      <c r="C83" s="192">
        <v>-6.1000000000000004E-3</v>
      </c>
      <c r="D83" s="42">
        <v>139</v>
      </c>
      <c r="E83" s="192">
        <v>0</v>
      </c>
    </row>
    <row r="84" spans="1:5" x14ac:dyDescent="0.25">
      <c r="A84" s="42" t="s">
        <v>343</v>
      </c>
      <c r="B84" s="191">
        <v>27681.61</v>
      </c>
      <c r="C84" s="192">
        <v>0.01</v>
      </c>
      <c r="D84" s="42">
        <v>140</v>
      </c>
      <c r="E84" s="192">
        <v>7.1999999999999998E-3</v>
      </c>
    </row>
    <row r="85" spans="1:5" x14ac:dyDescent="0.25">
      <c r="A85" s="42" t="s">
        <v>344</v>
      </c>
      <c r="B85" s="191">
        <v>27646.15</v>
      </c>
      <c r="C85" s="192">
        <v>-1.2999999999999999E-3</v>
      </c>
      <c r="D85" s="42">
        <v>140</v>
      </c>
      <c r="E85" s="192">
        <v>0</v>
      </c>
    </row>
    <row r="86" spans="1:5" x14ac:dyDescent="0.25">
      <c r="A86" s="42" t="s">
        <v>345</v>
      </c>
      <c r="B86" s="191">
        <v>27698.69</v>
      </c>
      <c r="C86" s="192">
        <v>1.9E-3</v>
      </c>
      <c r="D86" s="42">
        <v>140</v>
      </c>
      <c r="E86" s="19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P6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15" sqref="H15"/>
    </sheetView>
  </sheetViews>
  <sheetFormatPr defaultColWidth="9.5703125" defaultRowHeight="11.25" customHeight="1" x14ac:dyDescent="0.2"/>
  <cols>
    <col min="1" max="1" width="2.140625" style="21" customWidth="1"/>
    <col min="2" max="2" width="3" style="21" customWidth="1"/>
    <col min="3" max="3" width="26.5703125" style="21" customWidth="1"/>
    <col min="4" max="4" width="12.5703125" style="21" bestFit="1" customWidth="1"/>
    <col min="5" max="7" width="12" style="21" bestFit="1" customWidth="1"/>
    <col min="8" max="8" width="14.140625" style="21" bestFit="1" customWidth="1"/>
    <col min="9" max="13" width="10" style="21" bestFit="1" customWidth="1"/>
    <col min="14" max="14" width="11.5703125" style="21" customWidth="1"/>
    <col min="15" max="15" width="11" style="21" customWidth="1"/>
    <col min="16" max="16" width="11.42578125" style="21" customWidth="1"/>
    <col min="17" max="20" width="10" style="21" bestFit="1" customWidth="1"/>
    <col min="21" max="68" width="10.85546875" style="21" bestFit="1" customWidth="1"/>
    <col min="69" max="16384" width="9.5703125" style="21"/>
  </cols>
  <sheetData>
    <row r="3" spans="2:68" ht="11.25" customHeight="1" x14ac:dyDescent="0.2">
      <c r="B3" s="150" t="s">
        <v>151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2:68" ht="11.25" customHeight="1" x14ac:dyDescent="0.2">
      <c r="B4" s="151"/>
      <c r="C4" s="151"/>
      <c r="D4" s="163" t="s">
        <v>30</v>
      </c>
      <c r="E4" s="163" t="s">
        <v>28</v>
      </c>
      <c r="F4" s="163"/>
      <c r="G4" s="163"/>
      <c r="H4" s="163" t="s">
        <v>29</v>
      </c>
      <c r="I4" s="163" t="s">
        <v>29</v>
      </c>
      <c r="J4" s="163" t="s">
        <v>29</v>
      </c>
      <c r="K4" s="163" t="s">
        <v>29</v>
      </c>
      <c r="L4" s="163" t="s">
        <v>29</v>
      </c>
      <c r="M4" s="164" t="s">
        <v>29</v>
      </c>
      <c r="N4" s="164" t="s">
        <v>29</v>
      </c>
      <c r="O4" s="164" t="s">
        <v>29</v>
      </c>
      <c r="P4" s="164" t="s">
        <v>29</v>
      </c>
      <c r="Q4" s="164" t="s">
        <v>29</v>
      </c>
      <c r="R4" s="164" t="s">
        <v>29</v>
      </c>
      <c r="S4" s="164" t="s">
        <v>29</v>
      </c>
      <c r="T4" s="164" t="s">
        <v>29</v>
      </c>
      <c r="U4" s="164" t="s">
        <v>29</v>
      </c>
      <c r="V4" s="164" t="s">
        <v>29</v>
      </c>
      <c r="W4" s="164" t="s">
        <v>29</v>
      </c>
      <c r="X4" s="164" t="s">
        <v>29</v>
      </c>
      <c r="Y4" s="164" t="s">
        <v>29</v>
      </c>
      <c r="Z4" s="164" t="s">
        <v>29</v>
      </c>
      <c r="AA4" s="164" t="s">
        <v>29</v>
      </c>
      <c r="AB4" s="164" t="s">
        <v>29</v>
      </c>
      <c r="AC4" s="164" t="s">
        <v>29</v>
      </c>
      <c r="AD4" s="164" t="s">
        <v>29</v>
      </c>
      <c r="AE4" s="164" t="s">
        <v>29</v>
      </c>
      <c r="AF4" s="164" t="s">
        <v>29</v>
      </c>
      <c r="AG4" s="164" t="s">
        <v>29</v>
      </c>
      <c r="AH4" s="164" t="s">
        <v>29</v>
      </c>
      <c r="AI4" s="164" t="s">
        <v>29</v>
      </c>
      <c r="AJ4" s="164" t="s">
        <v>29</v>
      </c>
      <c r="AK4" s="164" t="s">
        <v>29</v>
      </c>
      <c r="AL4" s="164" t="s">
        <v>29</v>
      </c>
      <c r="AM4" s="164" t="s">
        <v>29</v>
      </c>
      <c r="AN4" s="164" t="s">
        <v>29</v>
      </c>
      <c r="AO4" s="164" t="s">
        <v>29</v>
      </c>
      <c r="AP4" s="164" t="s">
        <v>29</v>
      </c>
      <c r="AQ4" s="164" t="s">
        <v>29</v>
      </c>
      <c r="AR4" s="164" t="s">
        <v>29</v>
      </c>
      <c r="AS4" s="164" t="s">
        <v>29</v>
      </c>
      <c r="AT4" s="164" t="s">
        <v>29</v>
      </c>
      <c r="AU4" s="164" t="s">
        <v>29</v>
      </c>
      <c r="AV4" s="164" t="s">
        <v>29</v>
      </c>
      <c r="AW4" s="164" t="s">
        <v>29</v>
      </c>
      <c r="AX4" s="164" t="s">
        <v>29</v>
      </c>
      <c r="AY4" s="164" t="s">
        <v>29</v>
      </c>
      <c r="AZ4" s="164" t="s">
        <v>29</v>
      </c>
      <c r="BA4" s="164" t="s">
        <v>29</v>
      </c>
      <c r="BB4" s="164" t="s">
        <v>29</v>
      </c>
      <c r="BC4" s="164" t="s">
        <v>29</v>
      </c>
      <c r="BD4" s="164" t="s">
        <v>29</v>
      </c>
      <c r="BE4" s="164" t="s">
        <v>29</v>
      </c>
      <c r="BF4" s="164" t="s">
        <v>29</v>
      </c>
      <c r="BG4" s="164" t="s">
        <v>29</v>
      </c>
      <c r="BH4" s="164" t="s">
        <v>29</v>
      </c>
      <c r="BI4" s="164" t="s">
        <v>29</v>
      </c>
      <c r="BJ4" s="164" t="s">
        <v>29</v>
      </c>
      <c r="BK4" s="164" t="s">
        <v>29</v>
      </c>
      <c r="BL4" s="164" t="s">
        <v>29</v>
      </c>
      <c r="BM4" s="164" t="s">
        <v>29</v>
      </c>
      <c r="BN4" s="164" t="s">
        <v>29</v>
      </c>
      <c r="BO4" s="164" t="s">
        <v>29</v>
      </c>
      <c r="BP4" s="165"/>
    </row>
    <row r="5" spans="2:68" ht="11.25" customHeight="1" x14ac:dyDescent="0.2">
      <c r="B5" s="151"/>
      <c r="C5" s="151"/>
      <c r="D5" s="166"/>
      <c r="E5" s="167">
        <v>43739</v>
      </c>
      <c r="F5" s="167">
        <v>43770</v>
      </c>
      <c r="G5" s="167">
        <v>43800</v>
      </c>
      <c r="H5" s="166" t="s">
        <v>37</v>
      </c>
      <c r="I5" s="166" t="s">
        <v>38</v>
      </c>
      <c r="J5" s="166" t="s">
        <v>39</v>
      </c>
      <c r="K5" s="166" t="s">
        <v>40</v>
      </c>
      <c r="L5" s="166" t="s">
        <v>41</v>
      </c>
      <c r="M5" s="166" t="s">
        <v>42</v>
      </c>
      <c r="N5" s="166" t="s">
        <v>43</v>
      </c>
      <c r="O5" s="166" t="s">
        <v>44</v>
      </c>
      <c r="P5" s="166" t="s">
        <v>45</v>
      </c>
      <c r="Q5" s="166" t="s">
        <v>46</v>
      </c>
      <c r="R5" s="166" t="s">
        <v>47</v>
      </c>
      <c r="S5" s="166" t="s">
        <v>48</v>
      </c>
      <c r="T5" s="166" t="s">
        <v>49</v>
      </c>
      <c r="U5" s="166" t="s">
        <v>50</v>
      </c>
      <c r="V5" s="166" t="s">
        <v>51</v>
      </c>
      <c r="W5" s="166" t="s">
        <v>52</v>
      </c>
      <c r="X5" s="166" t="s">
        <v>53</v>
      </c>
      <c r="Y5" s="166" t="s">
        <v>54</v>
      </c>
      <c r="Z5" s="166" t="s">
        <v>55</v>
      </c>
      <c r="AA5" s="166" t="s">
        <v>56</v>
      </c>
      <c r="AB5" s="166" t="s">
        <v>57</v>
      </c>
      <c r="AC5" s="166" t="s">
        <v>58</v>
      </c>
      <c r="AD5" s="166" t="s">
        <v>59</v>
      </c>
      <c r="AE5" s="166" t="s">
        <v>60</v>
      </c>
      <c r="AF5" s="166" t="s">
        <v>61</v>
      </c>
      <c r="AG5" s="166" t="s">
        <v>62</v>
      </c>
      <c r="AH5" s="166" t="s">
        <v>63</v>
      </c>
      <c r="AI5" s="166" t="s">
        <v>64</v>
      </c>
      <c r="AJ5" s="166" t="s">
        <v>65</v>
      </c>
      <c r="AK5" s="166" t="s">
        <v>66</v>
      </c>
      <c r="AL5" s="166" t="s">
        <v>67</v>
      </c>
      <c r="AM5" s="166" t="s">
        <v>68</v>
      </c>
      <c r="AN5" s="166" t="s">
        <v>69</v>
      </c>
      <c r="AO5" s="166" t="s">
        <v>70</v>
      </c>
      <c r="AP5" s="166" t="s">
        <v>71</v>
      </c>
      <c r="AQ5" s="166" t="s">
        <v>72</v>
      </c>
      <c r="AR5" s="166" t="s">
        <v>73</v>
      </c>
      <c r="AS5" s="166" t="s">
        <v>74</v>
      </c>
      <c r="AT5" s="166" t="s">
        <v>75</v>
      </c>
      <c r="AU5" s="166" t="s">
        <v>76</v>
      </c>
      <c r="AV5" s="166" t="s">
        <v>77</v>
      </c>
      <c r="AW5" s="166" t="s">
        <v>78</v>
      </c>
      <c r="AX5" s="166" t="s">
        <v>79</v>
      </c>
      <c r="AY5" s="166" t="s">
        <v>80</v>
      </c>
      <c r="AZ5" s="166" t="s">
        <v>81</v>
      </c>
      <c r="BA5" s="166" t="s">
        <v>82</v>
      </c>
      <c r="BB5" s="166" t="s">
        <v>83</v>
      </c>
      <c r="BC5" s="166" t="s">
        <v>84</v>
      </c>
      <c r="BD5" s="166" t="s">
        <v>85</v>
      </c>
      <c r="BE5" s="166" t="s">
        <v>86</v>
      </c>
      <c r="BF5" s="166" t="s">
        <v>87</v>
      </c>
      <c r="BG5" s="166" t="s">
        <v>88</v>
      </c>
      <c r="BH5" s="166" t="s">
        <v>89</v>
      </c>
      <c r="BI5" s="166" t="s">
        <v>90</v>
      </c>
      <c r="BJ5" s="166" t="s">
        <v>91</v>
      </c>
      <c r="BK5" s="166" t="s">
        <v>92</v>
      </c>
      <c r="BL5" s="166" t="s">
        <v>93</v>
      </c>
      <c r="BM5" s="166" t="s">
        <v>94</v>
      </c>
      <c r="BN5" s="166" t="s">
        <v>95</v>
      </c>
      <c r="BO5" s="166" t="s">
        <v>96</v>
      </c>
      <c r="BP5" s="165"/>
    </row>
    <row r="6" spans="2:68" ht="11.25" customHeight="1" x14ac:dyDescent="0.2">
      <c r="B6" s="152" t="s">
        <v>33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2:68" ht="11.25" customHeight="1" x14ac:dyDescent="0.2">
      <c r="B7" s="151"/>
      <c r="C7" s="151" t="s">
        <v>98</v>
      </c>
      <c r="D7" s="151"/>
      <c r="E7" s="153"/>
      <c r="F7" s="153"/>
      <c r="G7" s="153">
        <f>'Ass &amp; ScenarioAnalysis'!$C$9</f>
        <v>10000</v>
      </c>
      <c r="H7" s="153">
        <f>G7</f>
        <v>10000</v>
      </c>
      <c r="I7" s="154">
        <f>H7*(1+I8)</f>
        <v>10025</v>
      </c>
      <c r="J7" s="154">
        <f t="shared" ref="J7:M7" si="0">I7*(1+J8)</f>
        <v>10050.0625</v>
      </c>
      <c r="K7" s="154">
        <f t="shared" si="0"/>
        <v>10075.18765625</v>
      </c>
      <c r="L7" s="154">
        <f t="shared" si="0"/>
        <v>10100.375625390625</v>
      </c>
      <c r="M7" s="154">
        <f t="shared" si="0"/>
        <v>10125.626564454102</v>
      </c>
      <c r="N7" s="155">
        <f t="shared" ref="N7" si="1">M7*(1+N8)</f>
        <v>10150.940630865236</v>
      </c>
      <c r="O7" s="155">
        <f t="shared" ref="O7" si="2">N7*(1+O8)</f>
        <v>10176.317982442399</v>
      </c>
      <c r="P7" s="155">
        <f t="shared" ref="P7" si="3">O7*(1+P8)</f>
        <v>10201.758777398503</v>
      </c>
      <c r="Q7" s="155">
        <f t="shared" ref="Q7" si="4">P7*(1+Q8)</f>
        <v>10227.263174341999</v>
      </c>
      <c r="R7" s="155">
        <f t="shared" ref="R7" si="5">Q7*(1+R8)</f>
        <v>10252.831332277854</v>
      </c>
      <c r="S7" s="155">
        <f t="shared" ref="S7" si="6">R7*(1+S8)</f>
        <v>10278.463410608549</v>
      </c>
      <c r="T7" s="155">
        <f t="shared" ref="T7" si="7">S7*(1+T8)</f>
        <v>10304.15956913507</v>
      </c>
      <c r="U7" s="155">
        <f t="shared" ref="U7" si="8">T7*(1+U8)</f>
        <v>10329.919968057908</v>
      </c>
      <c r="V7" s="155">
        <f t="shared" ref="V7" si="9">U7*(1+V8)</f>
        <v>10355.744767978053</v>
      </c>
      <c r="W7" s="155">
        <f t="shared" ref="W7" si="10">V7*(1+W8)</f>
        <v>10381.634129897997</v>
      </c>
      <c r="X7" s="155">
        <f t="shared" ref="X7" si="11">W7*(1+X8)</f>
        <v>10407.58821522274</v>
      </c>
      <c r="Y7" s="155">
        <f t="shared" ref="Y7" si="12">X7*(1+Y8)</f>
        <v>10433.607185760797</v>
      </c>
      <c r="Z7" s="155">
        <f t="shared" ref="Z7" si="13">Y7*(1+Z8)</f>
        <v>10459.691203725199</v>
      </c>
      <c r="AA7" s="155">
        <f t="shared" ref="AA7" si="14">Z7*(1+AA8)</f>
        <v>10485.84043173451</v>
      </c>
      <c r="AB7" s="155">
        <f t="shared" ref="AB7" si="15">AA7*(1+AB8)</f>
        <v>10512.055032813845</v>
      </c>
      <c r="AC7" s="155">
        <f t="shared" ref="AC7" si="16">AB7*(1+AC8)</f>
        <v>10538.33517039588</v>
      </c>
      <c r="AD7" s="155">
        <f t="shared" ref="AD7" si="17">AC7*(1+AD8)</f>
        <v>10564.681008321868</v>
      </c>
      <c r="AE7" s="155">
        <f t="shared" ref="AE7" si="18">AD7*(1+AE8)</f>
        <v>10591.092710842671</v>
      </c>
      <c r="AF7" s="155">
        <f t="shared" ref="AF7" si="19">AE7*(1+AF8)</f>
        <v>10617.570442619777</v>
      </c>
      <c r="AG7" s="155">
        <f t="shared" ref="AG7" si="20">AF7*(1+AG8)</f>
        <v>10644.114368726327</v>
      </c>
      <c r="AH7" s="155">
        <f t="shared" ref="AH7" si="21">AG7*(1+AH8)</f>
        <v>10670.724654648142</v>
      </c>
      <c r="AI7" s="155">
        <f t="shared" ref="AI7" si="22">AH7*(1+AI8)</f>
        <v>10697.401466284762</v>
      </c>
      <c r="AJ7" s="155">
        <f t="shared" ref="AJ7" si="23">AI7*(1+AJ8)</f>
        <v>10724.144969950474</v>
      </c>
      <c r="AK7" s="155">
        <f t="shared" ref="AK7" si="24">AJ7*(1+AK8)</f>
        <v>10750.95533237535</v>
      </c>
      <c r="AL7" s="155">
        <f t="shared" ref="AL7" si="25">AK7*(1+AL8)</f>
        <v>10777.832720706288</v>
      </c>
      <c r="AM7" s="155">
        <f t="shared" ref="AM7" si="26">AL7*(1+AM8)</f>
        <v>10804.777302508053</v>
      </c>
      <c r="AN7" s="155">
        <f t="shared" ref="AN7" si="27">AM7*(1+AN8)</f>
        <v>10831.789245764323</v>
      </c>
      <c r="AO7" s="155">
        <f t="shared" ref="AO7" si="28">AN7*(1+AO8)</f>
        <v>10858.868718878733</v>
      </c>
      <c r="AP7" s="155">
        <f t="shared" ref="AP7" si="29">AO7*(1+AP8)</f>
        <v>10886.01589067593</v>
      </c>
      <c r="AQ7" s="155">
        <f t="shared" ref="AQ7" si="30">AP7*(1+AQ8)</f>
        <v>10913.230930402618</v>
      </c>
      <c r="AR7" s="155">
        <f t="shared" ref="AR7" si="31">AQ7*(1+AR8)</f>
        <v>10940.514007728625</v>
      </c>
      <c r="AS7" s="155">
        <f t="shared" ref="AS7" si="32">AR7*(1+AS8)</f>
        <v>10967.865292747945</v>
      </c>
      <c r="AT7" s="155">
        <f t="shared" ref="AT7" si="33">AS7*(1+AT8)</f>
        <v>10995.284955979814</v>
      </c>
      <c r="AU7" s="155">
        <f t="shared" ref="AU7" si="34">AT7*(1+AU8)</f>
        <v>11022.773168369764</v>
      </c>
      <c r="AV7" s="155">
        <f t="shared" ref="AV7" si="35">AU7*(1+AV8)</f>
        <v>11050.330101290687</v>
      </c>
      <c r="AW7" s="155">
        <f t="shared" ref="AW7" si="36">AV7*(1+AW8)</f>
        <v>11077.955926543913</v>
      </c>
      <c r="AX7" s="155">
        <f t="shared" ref="AX7" si="37">AW7*(1+AX8)</f>
        <v>11105.650816360272</v>
      </c>
      <c r="AY7" s="155">
        <f t="shared" ref="AY7" si="38">AX7*(1+AY8)</f>
        <v>11133.414943401172</v>
      </c>
      <c r="AZ7" s="155">
        <f t="shared" ref="AZ7" si="39">AY7*(1+AZ8)</f>
        <v>11161.248480759676</v>
      </c>
      <c r="BA7" s="155">
        <f t="shared" ref="BA7" si="40">AZ7*(1+BA8)</f>
        <v>11189.151601961574</v>
      </c>
      <c r="BB7" s="155">
        <f t="shared" ref="BB7" si="41">BA7*(1+BB8)</f>
        <v>11217.124480966477</v>
      </c>
      <c r="BC7" s="155">
        <f t="shared" ref="BC7" si="42">BB7*(1+BC8)</f>
        <v>11245.167292168893</v>
      </c>
      <c r="BD7" s="155">
        <f t="shared" ref="BD7" si="43">BC7*(1+BD8)</f>
        <v>11273.280210399314</v>
      </c>
      <c r="BE7" s="155">
        <f t="shared" ref="BE7" si="44">BD7*(1+BE8)</f>
        <v>11301.463410925313</v>
      </c>
      <c r="BF7" s="155">
        <f t="shared" ref="BF7" si="45">BE7*(1+BF8)</f>
        <v>11329.717069452625</v>
      </c>
      <c r="BG7" s="155">
        <f t="shared" ref="BG7" si="46">BF7*(1+BG8)</f>
        <v>11358.041362126256</v>
      </c>
      <c r="BH7" s="155">
        <f t="shared" ref="BH7" si="47">BG7*(1+BH8)</f>
        <v>11386.436465531571</v>
      </c>
      <c r="BI7" s="155">
        <f t="shared" ref="BI7" si="48">BH7*(1+BI8)</f>
        <v>11414.902556695399</v>
      </c>
      <c r="BJ7" s="155">
        <f t="shared" ref="BJ7" si="49">BI7*(1+BJ8)</f>
        <v>11443.439813087136</v>
      </c>
      <c r="BK7" s="155">
        <f t="shared" ref="BK7" si="50">BJ7*(1+BK8)</f>
        <v>11472.048412619853</v>
      </c>
      <c r="BL7" s="155">
        <f t="shared" ref="BL7" si="51">BK7*(1+BL8)</f>
        <v>11500.728533651403</v>
      </c>
      <c r="BM7" s="155">
        <f t="shared" ref="BM7" si="52">BL7*(1+BM8)</f>
        <v>11529.480354985531</v>
      </c>
      <c r="BN7" s="155">
        <f t="shared" ref="BN7" si="53">BM7*(1+BN8)</f>
        <v>11558.304055872995</v>
      </c>
      <c r="BO7" s="155">
        <f t="shared" ref="BO7" si="54">BN7*(1+BO8)</f>
        <v>11587.199816012677</v>
      </c>
      <c r="BP7" s="155">
        <f t="shared" ref="BP7" si="55">BO7*(1+BP8)</f>
        <v>11616.167815552708</v>
      </c>
    </row>
    <row r="8" spans="2:68" ht="11.25" customHeight="1" x14ac:dyDescent="0.2">
      <c r="B8" s="151"/>
      <c r="C8" s="151" t="s">
        <v>32</v>
      </c>
      <c r="D8" s="151"/>
      <c r="E8" s="151"/>
      <c r="F8" s="151"/>
      <c r="G8" s="151"/>
      <c r="H8" s="151"/>
      <c r="I8" s="156">
        <f>'Ass &amp; ScenarioAnalysis'!C10</f>
        <v>2.5000000000000001E-3</v>
      </c>
      <c r="J8" s="156">
        <f>I8</f>
        <v>2.5000000000000001E-3</v>
      </c>
      <c r="K8" s="156">
        <f t="shared" ref="K8:BP8" si="56">J8</f>
        <v>2.5000000000000001E-3</v>
      </c>
      <c r="L8" s="156">
        <f t="shared" si="56"/>
        <v>2.5000000000000001E-3</v>
      </c>
      <c r="M8" s="156">
        <f t="shared" si="56"/>
        <v>2.5000000000000001E-3</v>
      </c>
      <c r="N8" s="156">
        <f t="shared" si="56"/>
        <v>2.5000000000000001E-3</v>
      </c>
      <c r="O8" s="156">
        <f t="shared" si="56"/>
        <v>2.5000000000000001E-3</v>
      </c>
      <c r="P8" s="156">
        <f t="shared" si="56"/>
        <v>2.5000000000000001E-3</v>
      </c>
      <c r="Q8" s="156">
        <f t="shared" si="56"/>
        <v>2.5000000000000001E-3</v>
      </c>
      <c r="R8" s="156">
        <f t="shared" si="56"/>
        <v>2.5000000000000001E-3</v>
      </c>
      <c r="S8" s="156">
        <f t="shared" si="56"/>
        <v>2.5000000000000001E-3</v>
      </c>
      <c r="T8" s="156">
        <f t="shared" si="56"/>
        <v>2.5000000000000001E-3</v>
      </c>
      <c r="U8" s="156">
        <f t="shared" si="56"/>
        <v>2.5000000000000001E-3</v>
      </c>
      <c r="V8" s="156">
        <f t="shared" si="56"/>
        <v>2.5000000000000001E-3</v>
      </c>
      <c r="W8" s="156">
        <f t="shared" si="56"/>
        <v>2.5000000000000001E-3</v>
      </c>
      <c r="X8" s="156">
        <f t="shared" si="56"/>
        <v>2.5000000000000001E-3</v>
      </c>
      <c r="Y8" s="156">
        <f t="shared" si="56"/>
        <v>2.5000000000000001E-3</v>
      </c>
      <c r="Z8" s="156">
        <f t="shared" si="56"/>
        <v>2.5000000000000001E-3</v>
      </c>
      <c r="AA8" s="156">
        <f t="shared" si="56"/>
        <v>2.5000000000000001E-3</v>
      </c>
      <c r="AB8" s="156">
        <f t="shared" si="56"/>
        <v>2.5000000000000001E-3</v>
      </c>
      <c r="AC8" s="156">
        <f t="shared" si="56"/>
        <v>2.5000000000000001E-3</v>
      </c>
      <c r="AD8" s="156">
        <f t="shared" si="56"/>
        <v>2.5000000000000001E-3</v>
      </c>
      <c r="AE8" s="156">
        <f t="shared" si="56"/>
        <v>2.5000000000000001E-3</v>
      </c>
      <c r="AF8" s="156">
        <f t="shared" si="56"/>
        <v>2.5000000000000001E-3</v>
      </c>
      <c r="AG8" s="156">
        <f t="shared" si="56"/>
        <v>2.5000000000000001E-3</v>
      </c>
      <c r="AH8" s="156">
        <f t="shared" si="56"/>
        <v>2.5000000000000001E-3</v>
      </c>
      <c r="AI8" s="156">
        <f t="shared" si="56"/>
        <v>2.5000000000000001E-3</v>
      </c>
      <c r="AJ8" s="156">
        <f t="shared" si="56"/>
        <v>2.5000000000000001E-3</v>
      </c>
      <c r="AK8" s="156">
        <f t="shared" si="56"/>
        <v>2.5000000000000001E-3</v>
      </c>
      <c r="AL8" s="156">
        <f t="shared" si="56"/>
        <v>2.5000000000000001E-3</v>
      </c>
      <c r="AM8" s="156">
        <f t="shared" si="56"/>
        <v>2.5000000000000001E-3</v>
      </c>
      <c r="AN8" s="156">
        <f t="shared" si="56"/>
        <v>2.5000000000000001E-3</v>
      </c>
      <c r="AO8" s="156">
        <f t="shared" si="56"/>
        <v>2.5000000000000001E-3</v>
      </c>
      <c r="AP8" s="156">
        <f t="shared" si="56"/>
        <v>2.5000000000000001E-3</v>
      </c>
      <c r="AQ8" s="156">
        <f t="shared" si="56"/>
        <v>2.5000000000000001E-3</v>
      </c>
      <c r="AR8" s="156">
        <f t="shared" si="56"/>
        <v>2.5000000000000001E-3</v>
      </c>
      <c r="AS8" s="156">
        <f t="shared" si="56"/>
        <v>2.5000000000000001E-3</v>
      </c>
      <c r="AT8" s="156">
        <f t="shared" si="56"/>
        <v>2.5000000000000001E-3</v>
      </c>
      <c r="AU8" s="156">
        <f t="shared" si="56"/>
        <v>2.5000000000000001E-3</v>
      </c>
      <c r="AV8" s="156">
        <f t="shared" si="56"/>
        <v>2.5000000000000001E-3</v>
      </c>
      <c r="AW8" s="156">
        <f t="shared" si="56"/>
        <v>2.5000000000000001E-3</v>
      </c>
      <c r="AX8" s="156">
        <f t="shared" si="56"/>
        <v>2.5000000000000001E-3</v>
      </c>
      <c r="AY8" s="156">
        <f t="shared" si="56"/>
        <v>2.5000000000000001E-3</v>
      </c>
      <c r="AZ8" s="156">
        <f t="shared" si="56"/>
        <v>2.5000000000000001E-3</v>
      </c>
      <c r="BA8" s="156">
        <f t="shared" si="56"/>
        <v>2.5000000000000001E-3</v>
      </c>
      <c r="BB8" s="156">
        <f t="shared" si="56"/>
        <v>2.5000000000000001E-3</v>
      </c>
      <c r="BC8" s="156">
        <f t="shared" si="56"/>
        <v>2.5000000000000001E-3</v>
      </c>
      <c r="BD8" s="156">
        <f t="shared" si="56"/>
        <v>2.5000000000000001E-3</v>
      </c>
      <c r="BE8" s="156">
        <f t="shared" si="56"/>
        <v>2.5000000000000001E-3</v>
      </c>
      <c r="BF8" s="156">
        <f t="shared" si="56"/>
        <v>2.5000000000000001E-3</v>
      </c>
      <c r="BG8" s="156">
        <f t="shared" si="56"/>
        <v>2.5000000000000001E-3</v>
      </c>
      <c r="BH8" s="156">
        <f t="shared" si="56"/>
        <v>2.5000000000000001E-3</v>
      </c>
      <c r="BI8" s="156">
        <f t="shared" si="56"/>
        <v>2.5000000000000001E-3</v>
      </c>
      <c r="BJ8" s="156">
        <f t="shared" si="56"/>
        <v>2.5000000000000001E-3</v>
      </c>
      <c r="BK8" s="156">
        <f t="shared" si="56"/>
        <v>2.5000000000000001E-3</v>
      </c>
      <c r="BL8" s="156">
        <f t="shared" si="56"/>
        <v>2.5000000000000001E-3</v>
      </c>
      <c r="BM8" s="156">
        <f t="shared" si="56"/>
        <v>2.5000000000000001E-3</v>
      </c>
      <c r="BN8" s="156">
        <f t="shared" si="56"/>
        <v>2.5000000000000001E-3</v>
      </c>
      <c r="BO8" s="156">
        <f t="shared" si="56"/>
        <v>2.5000000000000001E-3</v>
      </c>
      <c r="BP8" s="156">
        <f t="shared" si="56"/>
        <v>2.5000000000000001E-3</v>
      </c>
    </row>
    <row r="9" spans="2:68" ht="11.25" customHeight="1" x14ac:dyDescent="0.2"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2:68" ht="11.25" customHeight="1" x14ac:dyDescent="0.2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</row>
    <row r="11" spans="2:68" ht="11.25" customHeight="1" x14ac:dyDescent="0.2">
      <c r="B11" s="151"/>
      <c r="C11" s="151" t="s">
        <v>34</v>
      </c>
      <c r="D11" s="168"/>
      <c r="E11" s="169">
        <f>E7*'Ass &amp; ScenarioAnalysis'!$C$11</f>
        <v>0</v>
      </c>
      <c r="F11" s="169">
        <f>F7*'Ass &amp; ScenarioAnalysis'!$C$11</f>
        <v>0</v>
      </c>
      <c r="G11" s="169">
        <f>G7*'Ass &amp; ScenarioAnalysis'!$C$11</f>
        <v>5500000</v>
      </c>
      <c r="H11" s="169">
        <f>H7*'Ass &amp; ScenarioAnalysis'!$C$11</f>
        <v>5500000</v>
      </c>
      <c r="I11" s="169">
        <f>I7*'Ass &amp; ScenarioAnalysis'!$C$11</f>
        <v>5513750</v>
      </c>
      <c r="J11" s="169">
        <f>J7*'Ass &amp; ScenarioAnalysis'!$C$11</f>
        <v>5527534.375</v>
      </c>
      <c r="K11" s="169">
        <f>K7*'Ass &amp; ScenarioAnalysis'!$C$11</f>
        <v>5541353.2109375</v>
      </c>
      <c r="L11" s="169">
        <f>L7*'Ass &amp; ScenarioAnalysis'!$C$11</f>
        <v>5555206.593964844</v>
      </c>
      <c r="M11" s="169">
        <f>M7*'Ass &amp; ScenarioAnalysis'!$C$11</f>
        <v>5569094.6104497556</v>
      </c>
      <c r="N11" s="169">
        <f>N7*'Ass &amp; ScenarioAnalysis'!$C$11</f>
        <v>5583017.3469758797</v>
      </c>
      <c r="O11" s="169">
        <f>O7*'Ass &amp; ScenarioAnalysis'!$C$11</f>
        <v>5596974.8903433196</v>
      </c>
      <c r="P11" s="169">
        <f>P7*'Ass &amp; ScenarioAnalysis'!$C$11</f>
        <v>5610967.3275691764</v>
      </c>
      <c r="Q11" s="169">
        <f>Q7*'Ass &amp; ScenarioAnalysis'!$C$11</f>
        <v>5624994.7458880991</v>
      </c>
      <c r="R11" s="169">
        <f>R7*'Ass &amp; ScenarioAnalysis'!$C$11</f>
        <v>5639057.2327528195</v>
      </c>
      <c r="S11" s="169">
        <f>S7*'Ass &amp; ScenarioAnalysis'!$C$11</f>
        <v>5653154.8758347016</v>
      </c>
      <c r="T11" s="169">
        <f>T7*'Ass &amp; ScenarioAnalysis'!$C$11</f>
        <v>5667287.7630242882</v>
      </c>
      <c r="U11" s="169">
        <f>U7*'Ass &amp; ScenarioAnalysis'!$C$11</f>
        <v>5681455.9824318495</v>
      </c>
      <c r="V11" s="169">
        <f>V7*'Ass &amp; ScenarioAnalysis'!$C$11</f>
        <v>5695659.6223879289</v>
      </c>
      <c r="W11" s="169">
        <f>W7*'Ass &amp; ScenarioAnalysis'!$C$11</f>
        <v>5709898.7714438979</v>
      </c>
      <c r="X11" s="169">
        <f>X7*'Ass &amp; ScenarioAnalysis'!$C$11</f>
        <v>5724173.5183725068</v>
      </c>
      <c r="Y11" s="169">
        <f>Y7*'Ass &amp; ScenarioAnalysis'!$C$11</f>
        <v>5738483.9521684386</v>
      </c>
      <c r="Z11" s="169">
        <f>Z7*'Ass &amp; ScenarioAnalysis'!$C$11</f>
        <v>5752830.1620488595</v>
      </c>
      <c r="AA11" s="169">
        <f>AA7*'Ass &amp; ScenarioAnalysis'!$C$11</f>
        <v>5767212.2374539804</v>
      </c>
      <c r="AB11" s="169">
        <f>AB7*'Ass &amp; ScenarioAnalysis'!$C$11</f>
        <v>5781630.268047615</v>
      </c>
      <c r="AC11" s="169">
        <f>AC7*'Ass &amp; ScenarioAnalysis'!$C$11</f>
        <v>5796084.3437177334</v>
      </c>
      <c r="AD11" s="169">
        <f>AD7*'Ass &amp; ScenarioAnalysis'!$C$11</f>
        <v>5810574.5545770274</v>
      </c>
      <c r="AE11" s="169">
        <f>AE7*'Ass &amp; ScenarioAnalysis'!$C$11</f>
        <v>5825100.9909634693</v>
      </c>
      <c r="AF11" s="169">
        <f>AF7*'Ass &amp; ScenarioAnalysis'!$C$11</f>
        <v>5839663.7434408776</v>
      </c>
      <c r="AG11" s="169">
        <f>AG7*'Ass &amp; ScenarioAnalysis'!$C$11</f>
        <v>5854262.9027994797</v>
      </c>
      <c r="AH11" s="169">
        <f>AH7*'Ass &amp; ScenarioAnalysis'!$C$11</f>
        <v>5868898.5600564778</v>
      </c>
      <c r="AI11" s="169">
        <f>AI7*'Ass &amp; ScenarioAnalysis'!$C$11</f>
        <v>5883570.8064566189</v>
      </c>
      <c r="AJ11" s="169">
        <f>AJ7*'Ass &amp; ScenarioAnalysis'!$C$11</f>
        <v>5898279.7334727608</v>
      </c>
      <c r="AK11" s="169">
        <f>AK7*'Ass &amp; ScenarioAnalysis'!$C$11</f>
        <v>5913025.4328064425</v>
      </c>
      <c r="AL11" s="169">
        <f>AL7*'Ass &amp; ScenarioAnalysis'!$C$11</f>
        <v>5927807.9963884586</v>
      </c>
      <c r="AM11" s="169">
        <f>AM7*'Ass &amp; ScenarioAnalysis'!$C$11</f>
        <v>5942627.516379429</v>
      </c>
      <c r="AN11" s="169">
        <f>AN7*'Ass &amp; ScenarioAnalysis'!$C$11</f>
        <v>5957484.085170378</v>
      </c>
      <c r="AO11" s="169">
        <f>AO7*'Ass &amp; ScenarioAnalysis'!$C$11</f>
        <v>5972377.7953833034</v>
      </c>
      <c r="AP11" s="169">
        <f>AP7*'Ass &amp; ScenarioAnalysis'!$C$11</f>
        <v>5987308.7398717618</v>
      </c>
      <c r="AQ11" s="169">
        <f>AQ7*'Ass &amp; ScenarioAnalysis'!$C$11</f>
        <v>6002277.0117214406</v>
      </c>
      <c r="AR11" s="169">
        <f>AR7*'Ass &amp; ScenarioAnalysis'!$C$11</f>
        <v>6017282.7042507436</v>
      </c>
      <c r="AS11" s="169">
        <f>AS7*'Ass &amp; ScenarioAnalysis'!$C$11</f>
        <v>6032325.9110113699</v>
      </c>
      <c r="AT11" s="169">
        <f>AT7*'Ass &amp; ScenarioAnalysis'!$C$11</f>
        <v>6047406.7257888978</v>
      </c>
      <c r="AU11" s="169">
        <f>AU7*'Ass &amp; ScenarioAnalysis'!$C$11</f>
        <v>6062525.24260337</v>
      </c>
      <c r="AV11" s="169">
        <f>AV7*'Ass &amp; ScenarioAnalysis'!$C$11</f>
        <v>6077681.555709878</v>
      </c>
      <c r="AW11" s="169">
        <f>AW7*'Ass &amp; ScenarioAnalysis'!$C$11</f>
        <v>6092875.759599152</v>
      </c>
      <c r="AX11" s="169">
        <f>AX7*'Ass &amp; ScenarioAnalysis'!$C$11</f>
        <v>6108107.9489981495</v>
      </c>
      <c r="AY11" s="169">
        <f>AY7*'Ass &amp; ScenarioAnalysis'!$C$11</f>
        <v>6123378.2188706445</v>
      </c>
      <c r="AZ11" s="169">
        <f>AZ7*'Ass &amp; ScenarioAnalysis'!$C$11</f>
        <v>6138686.6644178219</v>
      </c>
      <c r="BA11" s="169">
        <f>BA7*'Ass &amp; ScenarioAnalysis'!$C$11</f>
        <v>6154033.3810788654</v>
      </c>
      <c r="BB11" s="169">
        <f>BB7*'Ass &amp; ScenarioAnalysis'!$C$11</f>
        <v>6169418.4645315623</v>
      </c>
      <c r="BC11" s="169">
        <f>BC7*'Ass &amp; ScenarioAnalysis'!$C$11</f>
        <v>6184842.0106928917</v>
      </c>
      <c r="BD11" s="169">
        <f>BD7*'Ass &amp; ScenarioAnalysis'!$C$11</f>
        <v>6200304.1157196229</v>
      </c>
      <c r="BE11" s="169">
        <f>BE7*'Ass &amp; ScenarioAnalysis'!$C$11</f>
        <v>6215804.8760089222</v>
      </c>
      <c r="BF11" s="169">
        <f>BF7*'Ass &amp; ScenarioAnalysis'!$C$11</f>
        <v>6231344.3881989438</v>
      </c>
      <c r="BG11" s="169">
        <f>BG7*'Ass &amp; ScenarioAnalysis'!$C$11</f>
        <v>6246922.7491694409</v>
      </c>
      <c r="BH11" s="169">
        <f>BH7*'Ass &amp; ScenarioAnalysis'!$C$11</f>
        <v>6262540.0560423639</v>
      </c>
      <c r="BI11" s="169">
        <f>BI7*'Ass &amp; ScenarioAnalysis'!$C$11</f>
        <v>6278196.4061824689</v>
      </c>
      <c r="BJ11" s="169">
        <f>BJ7*'Ass &amp; ScenarioAnalysis'!$C$11</f>
        <v>6293891.8971979246</v>
      </c>
      <c r="BK11" s="169">
        <f>BK7*'Ass &amp; ScenarioAnalysis'!$C$11</f>
        <v>6309626.6269409191</v>
      </c>
      <c r="BL11" s="169">
        <f>BL7*'Ass &amp; ScenarioAnalysis'!$C$11</f>
        <v>6325400.6935082721</v>
      </c>
      <c r="BM11" s="169">
        <f>BM7*'Ass &amp; ScenarioAnalysis'!$C$11</f>
        <v>6341214.1952420427</v>
      </c>
      <c r="BN11" s="169">
        <f>BN7*'Ass &amp; ScenarioAnalysis'!$C$11</f>
        <v>6357067.2307301471</v>
      </c>
      <c r="BO11" s="169">
        <f>BO7*'Ass &amp; ScenarioAnalysis'!$C$11</f>
        <v>6372959.8988069724</v>
      </c>
      <c r="BP11" s="169">
        <f>BP7*'Ass &amp; ScenarioAnalysis'!$C$11</f>
        <v>6388892.2985539893</v>
      </c>
    </row>
    <row r="12" spans="2:68" ht="11.25" customHeight="1" x14ac:dyDescent="0.2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2:68" ht="11.25" customHeight="1" x14ac:dyDescent="0.2"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2:68" ht="11.25" customHeight="1" x14ac:dyDescent="0.2"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2:68" ht="11.25" customHeight="1" x14ac:dyDescent="0.2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7" spans="2:68" ht="11.25" customHeight="1" x14ac:dyDescent="0.2">
      <c r="B17" s="138" t="str">
        <f>'Ass &amp; ScenarioAnalysis'!A13</f>
        <v>Monthly Service Fee</v>
      </c>
    </row>
    <row r="18" spans="2:68" s="157" customFormat="1" ht="11.25" customHeight="1" x14ac:dyDescent="0.25">
      <c r="C18" s="157" t="s">
        <v>110</v>
      </c>
      <c r="D18" s="75">
        <v>15000</v>
      </c>
      <c r="E18" s="157">
        <f>D22</f>
        <v>15000</v>
      </c>
      <c r="F18" s="157">
        <f>E22</f>
        <v>15000</v>
      </c>
      <c r="G18" s="157">
        <f t="shared" ref="G18:BP18" si="57">F22</f>
        <v>15000</v>
      </c>
      <c r="H18" s="157">
        <f t="shared" si="57"/>
        <v>25000</v>
      </c>
      <c r="I18" s="157">
        <f>H22</f>
        <v>35000</v>
      </c>
      <c r="J18" s="157">
        <f t="shared" si="57"/>
        <v>45025</v>
      </c>
      <c r="K18" s="157">
        <f t="shared" si="57"/>
        <v>55075.0625</v>
      </c>
      <c r="L18" s="157">
        <f t="shared" si="57"/>
        <v>65150.250156249997</v>
      </c>
      <c r="M18" s="157">
        <f t="shared" si="57"/>
        <v>75250.625781640614</v>
      </c>
      <c r="N18" s="157">
        <f t="shared" si="57"/>
        <v>85376.252346094712</v>
      </c>
      <c r="O18" s="157">
        <f t="shared" si="57"/>
        <v>95527.192976959952</v>
      </c>
      <c r="P18" s="157">
        <f t="shared" si="57"/>
        <v>105703.51095940235</v>
      </c>
      <c r="Q18" s="157">
        <f t="shared" si="57"/>
        <v>115905.26973680085</v>
      </c>
      <c r="R18" s="157">
        <f t="shared" si="57"/>
        <v>126132.53291114286</v>
      </c>
      <c r="S18" s="157">
        <f t="shared" si="57"/>
        <v>136385.36424342071</v>
      </c>
      <c r="T18" s="157">
        <f t="shared" si="57"/>
        <v>146663.82765402927</v>
      </c>
      <c r="U18" s="157">
        <f t="shared" si="57"/>
        <v>156967.98722316435</v>
      </c>
      <c r="V18" s="157">
        <f t="shared" si="57"/>
        <v>167297.90719122227</v>
      </c>
      <c r="W18" s="157">
        <f t="shared" si="57"/>
        <v>177653.65195920033</v>
      </c>
      <c r="X18" s="157">
        <f t="shared" si="57"/>
        <v>188035.28608909831</v>
      </c>
      <c r="Y18" s="157">
        <f t="shared" si="57"/>
        <v>198442.87430432104</v>
      </c>
      <c r="Z18" s="157">
        <f t="shared" si="57"/>
        <v>208876.48149008185</v>
      </c>
      <c r="AA18" s="157">
        <f t="shared" si="57"/>
        <v>219336.17269380705</v>
      </c>
      <c r="AB18" s="157">
        <f t="shared" si="57"/>
        <v>229822.01312554156</v>
      </c>
      <c r="AC18" s="157">
        <f t="shared" si="57"/>
        <v>240334.0681583554</v>
      </c>
      <c r="AD18" s="157">
        <f t="shared" si="57"/>
        <v>250872.40332875127</v>
      </c>
      <c r="AE18" s="157">
        <f t="shared" si="57"/>
        <v>261437.08433707315</v>
      </c>
      <c r="AF18" s="157">
        <f t="shared" si="57"/>
        <v>272028.17704791581</v>
      </c>
      <c r="AG18" s="157">
        <f t="shared" si="57"/>
        <v>282645.74749053561</v>
      </c>
      <c r="AH18" s="157">
        <f t="shared" si="57"/>
        <v>293289.86185926193</v>
      </c>
      <c r="AI18" s="157">
        <f t="shared" si="57"/>
        <v>303960.58651391009</v>
      </c>
      <c r="AJ18" s="157">
        <f t="shared" si="57"/>
        <v>314657.98798019486</v>
      </c>
      <c r="AK18" s="157">
        <f t="shared" si="57"/>
        <v>325382.13295014534</v>
      </c>
      <c r="AL18" s="157">
        <f t="shared" si="57"/>
        <v>336133.08828252071</v>
      </c>
      <c r="AM18" s="157">
        <f t="shared" si="57"/>
        <v>346910.92100322701</v>
      </c>
      <c r="AN18" s="157">
        <f t="shared" si="57"/>
        <v>357715.69830573507</v>
      </c>
      <c r="AO18" s="157">
        <f t="shared" si="57"/>
        <v>368547.48755149939</v>
      </c>
      <c r="AP18" s="157">
        <f t="shared" si="57"/>
        <v>379406.35627037811</v>
      </c>
      <c r="AQ18" s="157">
        <f t="shared" si="57"/>
        <v>390292.37216105405</v>
      </c>
      <c r="AR18" s="157">
        <f t="shared" si="57"/>
        <v>401205.60309145669</v>
      </c>
      <c r="AS18" s="157">
        <f t="shared" si="57"/>
        <v>412146.1170991853</v>
      </c>
      <c r="AT18" s="157">
        <f t="shared" si="57"/>
        <v>423113.98239193327</v>
      </c>
      <c r="AU18" s="157">
        <f t="shared" si="57"/>
        <v>434109.26734791306</v>
      </c>
      <c r="AV18" s="157">
        <f t="shared" si="57"/>
        <v>445132.04051628284</v>
      </c>
      <c r="AW18" s="157">
        <f t="shared" si="57"/>
        <v>456182.3706175735</v>
      </c>
      <c r="AX18" s="157">
        <f t="shared" si="57"/>
        <v>467260.32654411742</v>
      </c>
      <c r="AY18" s="157">
        <f t="shared" si="57"/>
        <v>478365.97736047767</v>
      </c>
      <c r="AZ18" s="157">
        <f t="shared" si="57"/>
        <v>489499.39230387885</v>
      </c>
      <c r="BA18" s="157">
        <f t="shared" si="57"/>
        <v>500660.64078463853</v>
      </c>
      <c r="BB18" s="157">
        <f t="shared" si="57"/>
        <v>511849.79238660011</v>
      </c>
      <c r="BC18" s="157">
        <f t="shared" si="57"/>
        <v>523066.91686756659</v>
      </c>
      <c r="BD18" s="157">
        <f t="shared" si="57"/>
        <v>534312.08415973547</v>
      </c>
      <c r="BE18" s="157">
        <f t="shared" si="57"/>
        <v>545585.36437013478</v>
      </c>
      <c r="BF18" s="157">
        <f t="shared" si="57"/>
        <v>556886.82778106013</v>
      </c>
      <c r="BG18" s="157">
        <f t="shared" si="57"/>
        <v>568216.54485051276</v>
      </c>
      <c r="BH18" s="157">
        <f t="shared" si="57"/>
        <v>579574.586212639</v>
      </c>
      <c r="BI18" s="157">
        <f t="shared" si="57"/>
        <v>590961.02267817059</v>
      </c>
      <c r="BJ18" s="157">
        <f t="shared" si="57"/>
        <v>602375.92523486598</v>
      </c>
      <c r="BK18" s="157">
        <f t="shared" si="57"/>
        <v>613819.36504795309</v>
      </c>
      <c r="BL18" s="157">
        <f t="shared" si="57"/>
        <v>625291.41346057295</v>
      </c>
      <c r="BM18" s="157">
        <f t="shared" si="57"/>
        <v>636792.1419942244</v>
      </c>
      <c r="BN18" s="157">
        <f t="shared" si="57"/>
        <v>648321.62234920997</v>
      </c>
      <c r="BO18" s="157">
        <f t="shared" si="57"/>
        <v>659879.92640508292</v>
      </c>
      <c r="BP18" s="157">
        <f t="shared" si="57"/>
        <v>671467.12622109556</v>
      </c>
    </row>
    <row r="19" spans="2:68" s="157" customFormat="1" ht="11.25" customHeight="1" x14ac:dyDescent="0.2">
      <c r="C19" s="157" t="s">
        <v>108</v>
      </c>
      <c r="D19" s="157">
        <v>0</v>
      </c>
      <c r="E19" s="157">
        <f>E7</f>
        <v>0</v>
      </c>
      <c r="F19" s="157">
        <f t="shared" ref="F19:BP19" si="58">F7</f>
        <v>0</v>
      </c>
      <c r="G19" s="157">
        <f t="shared" si="58"/>
        <v>10000</v>
      </c>
      <c r="H19" s="157">
        <f t="shared" si="58"/>
        <v>10000</v>
      </c>
      <c r="I19" s="157">
        <f t="shared" si="58"/>
        <v>10025</v>
      </c>
      <c r="J19" s="157">
        <f t="shared" si="58"/>
        <v>10050.0625</v>
      </c>
      <c r="K19" s="157">
        <f t="shared" si="58"/>
        <v>10075.18765625</v>
      </c>
      <c r="L19" s="157">
        <f t="shared" si="58"/>
        <v>10100.375625390625</v>
      </c>
      <c r="M19" s="157">
        <f t="shared" si="58"/>
        <v>10125.626564454102</v>
      </c>
      <c r="N19" s="157">
        <f t="shared" si="58"/>
        <v>10150.940630865236</v>
      </c>
      <c r="O19" s="157">
        <f t="shared" si="58"/>
        <v>10176.317982442399</v>
      </c>
      <c r="P19" s="157">
        <f t="shared" si="58"/>
        <v>10201.758777398503</v>
      </c>
      <c r="Q19" s="157">
        <f t="shared" si="58"/>
        <v>10227.263174341999</v>
      </c>
      <c r="R19" s="157">
        <f t="shared" si="58"/>
        <v>10252.831332277854</v>
      </c>
      <c r="S19" s="157">
        <f t="shared" si="58"/>
        <v>10278.463410608549</v>
      </c>
      <c r="T19" s="157">
        <f t="shared" si="58"/>
        <v>10304.15956913507</v>
      </c>
      <c r="U19" s="157">
        <f t="shared" si="58"/>
        <v>10329.919968057908</v>
      </c>
      <c r="V19" s="157">
        <f t="shared" si="58"/>
        <v>10355.744767978053</v>
      </c>
      <c r="W19" s="157">
        <f t="shared" si="58"/>
        <v>10381.634129897997</v>
      </c>
      <c r="X19" s="157">
        <f t="shared" si="58"/>
        <v>10407.58821522274</v>
      </c>
      <c r="Y19" s="157">
        <f t="shared" si="58"/>
        <v>10433.607185760797</v>
      </c>
      <c r="Z19" s="157">
        <f t="shared" si="58"/>
        <v>10459.691203725199</v>
      </c>
      <c r="AA19" s="157">
        <f t="shared" si="58"/>
        <v>10485.84043173451</v>
      </c>
      <c r="AB19" s="157">
        <f t="shared" si="58"/>
        <v>10512.055032813845</v>
      </c>
      <c r="AC19" s="157">
        <f t="shared" si="58"/>
        <v>10538.33517039588</v>
      </c>
      <c r="AD19" s="157">
        <f t="shared" si="58"/>
        <v>10564.681008321868</v>
      </c>
      <c r="AE19" s="157">
        <f t="shared" si="58"/>
        <v>10591.092710842671</v>
      </c>
      <c r="AF19" s="157">
        <f t="shared" si="58"/>
        <v>10617.570442619777</v>
      </c>
      <c r="AG19" s="157">
        <f t="shared" si="58"/>
        <v>10644.114368726327</v>
      </c>
      <c r="AH19" s="157">
        <f t="shared" si="58"/>
        <v>10670.724654648142</v>
      </c>
      <c r="AI19" s="157">
        <f t="shared" si="58"/>
        <v>10697.401466284762</v>
      </c>
      <c r="AJ19" s="157">
        <f t="shared" si="58"/>
        <v>10724.144969950474</v>
      </c>
      <c r="AK19" s="157">
        <f t="shared" si="58"/>
        <v>10750.95533237535</v>
      </c>
      <c r="AL19" s="157">
        <f t="shared" si="58"/>
        <v>10777.832720706288</v>
      </c>
      <c r="AM19" s="157">
        <f t="shared" si="58"/>
        <v>10804.777302508053</v>
      </c>
      <c r="AN19" s="157">
        <f t="shared" si="58"/>
        <v>10831.789245764323</v>
      </c>
      <c r="AO19" s="157">
        <f t="shared" si="58"/>
        <v>10858.868718878733</v>
      </c>
      <c r="AP19" s="157">
        <f t="shared" si="58"/>
        <v>10886.01589067593</v>
      </c>
      <c r="AQ19" s="157">
        <f t="shared" si="58"/>
        <v>10913.230930402618</v>
      </c>
      <c r="AR19" s="157">
        <f t="shared" si="58"/>
        <v>10940.514007728625</v>
      </c>
      <c r="AS19" s="157">
        <f t="shared" si="58"/>
        <v>10967.865292747945</v>
      </c>
      <c r="AT19" s="157">
        <f t="shared" si="58"/>
        <v>10995.284955979814</v>
      </c>
      <c r="AU19" s="157">
        <f t="shared" si="58"/>
        <v>11022.773168369764</v>
      </c>
      <c r="AV19" s="157">
        <f t="shared" si="58"/>
        <v>11050.330101290687</v>
      </c>
      <c r="AW19" s="157">
        <f t="shared" si="58"/>
        <v>11077.955926543913</v>
      </c>
      <c r="AX19" s="157">
        <f t="shared" si="58"/>
        <v>11105.650816360272</v>
      </c>
      <c r="AY19" s="157">
        <f t="shared" si="58"/>
        <v>11133.414943401172</v>
      </c>
      <c r="AZ19" s="157">
        <f t="shared" si="58"/>
        <v>11161.248480759676</v>
      </c>
      <c r="BA19" s="157">
        <f t="shared" si="58"/>
        <v>11189.151601961574</v>
      </c>
      <c r="BB19" s="157">
        <f t="shared" si="58"/>
        <v>11217.124480966477</v>
      </c>
      <c r="BC19" s="157">
        <f t="shared" si="58"/>
        <v>11245.167292168893</v>
      </c>
      <c r="BD19" s="157">
        <f t="shared" si="58"/>
        <v>11273.280210399314</v>
      </c>
      <c r="BE19" s="157">
        <f t="shared" si="58"/>
        <v>11301.463410925313</v>
      </c>
      <c r="BF19" s="157">
        <f t="shared" si="58"/>
        <v>11329.717069452625</v>
      </c>
      <c r="BG19" s="157">
        <f t="shared" si="58"/>
        <v>11358.041362126256</v>
      </c>
      <c r="BH19" s="157">
        <f t="shared" si="58"/>
        <v>11386.436465531571</v>
      </c>
      <c r="BI19" s="157">
        <f t="shared" si="58"/>
        <v>11414.902556695399</v>
      </c>
      <c r="BJ19" s="157">
        <f t="shared" si="58"/>
        <v>11443.439813087136</v>
      </c>
      <c r="BK19" s="157">
        <f t="shared" si="58"/>
        <v>11472.048412619853</v>
      </c>
      <c r="BL19" s="157">
        <f t="shared" si="58"/>
        <v>11500.728533651403</v>
      </c>
      <c r="BM19" s="157">
        <f t="shared" si="58"/>
        <v>11529.480354985531</v>
      </c>
      <c r="BN19" s="157">
        <f t="shared" si="58"/>
        <v>11558.304055872995</v>
      </c>
      <c r="BO19" s="157">
        <f t="shared" si="58"/>
        <v>11587.199816012677</v>
      </c>
      <c r="BP19" s="157">
        <f t="shared" si="58"/>
        <v>11616.167815552708</v>
      </c>
    </row>
    <row r="20" spans="2:68" s="157" customFormat="1" ht="11.25" customHeight="1" x14ac:dyDescent="0.2">
      <c r="C20" s="157" t="s">
        <v>107</v>
      </c>
      <c r="D20" s="157">
        <f>D18+D19</f>
        <v>15000</v>
      </c>
      <c r="E20" s="157">
        <f>E18+E19</f>
        <v>15000</v>
      </c>
      <c r="F20" s="157">
        <f t="shared" ref="F20:BP20" si="59">F18+F19</f>
        <v>15000</v>
      </c>
      <c r="G20" s="157">
        <f t="shared" si="59"/>
        <v>25000</v>
      </c>
      <c r="H20" s="157">
        <f t="shared" si="59"/>
        <v>35000</v>
      </c>
      <c r="I20" s="157">
        <f t="shared" si="59"/>
        <v>45025</v>
      </c>
      <c r="J20" s="157">
        <f t="shared" si="59"/>
        <v>55075.0625</v>
      </c>
      <c r="K20" s="157">
        <f t="shared" si="59"/>
        <v>65150.250156249997</v>
      </c>
      <c r="L20" s="157">
        <f t="shared" si="59"/>
        <v>75250.625781640614</v>
      </c>
      <c r="M20" s="157">
        <f t="shared" si="59"/>
        <v>85376.252346094712</v>
      </c>
      <c r="N20" s="157">
        <f t="shared" si="59"/>
        <v>95527.192976959952</v>
      </c>
      <c r="O20" s="157">
        <f t="shared" si="59"/>
        <v>105703.51095940235</v>
      </c>
      <c r="P20" s="157">
        <f t="shared" si="59"/>
        <v>115905.26973680085</v>
      </c>
      <c r="Q20" s="157">
        <f t="shared" si="59"/>
        <v>126132.53291114286</v>
      </c>
      <c r="R20" s="157">
        <f t="shared" si="59"/>
        <v>136385.36424342071</v>
      </c>
      <c r="S20" s="157">
        <f t="shared" si="59"/>
        <v>146663.82765402927</v>
      </c>
      <c r="T20" s="157">
        <f t="shared" si="59"/>
        <v>156967.98722316435</v>
      </c>
      <c r="U20" s="157">
        <f t="shared" si="59"/>
        <v>167297.90719122227</v>
      </c>
      <c r="V20" s="157">
        <f t="shared" si="59"/>
        <v>177653.65195920033</v>
      </c>
      <c r="W20" s="157">
        <f t="shared" si="59"/>
        <v>188035.28608909831</v>
      </c>
      <c r="X20" s="157">
        <f t="shared" si="59"/>
        <v>198442.87430432104</v>
      </c>
      <c r="Y20" s="157">
        <f t="shared" si="59"/>
        <v>208876.48149008185</v>
      </c>
      <c r="Z20" s="157">
        <f t="shared" si="59"/>
        <v>219336.17269380705</v>
      </c>
      <c r="AA20" s="157">
        <f t="shared" si="59"/>
        <v>229822.01312554156</v>
      </c>
      <c r="AB20" s="157">
        <f t="shared" si="59"/>
        <v>240334.0681583554</v>
      </c>
      <c r="AC20" s="157">
        <f t="shared" si="59"/>
        <v>250872.40332875127</v>
      </c>
      <c r="AD20" s="157">
        <f t="shared" si="59"/>
        <v>261437.08433707315</v>
      </c>
      <c r="AE20" s="157">
        <f t="shared" si="59"/>
        <v>272028.17704791581</v>
      </c>
      <c r="AF20" s="157">
        <f t="shared" si="59"/>
        <v>282645.74749053561</v>
      </c>
      <c r="AG20" s="157">
        <f t="shared" si="59"/>
        <v>293289.86185926193</v>
      </c>
      <c r="AH20" s="157">
        <f t="shared" si="59"/>
        <v>303960.58651391009</v>
      </c>
      <c r="AI20" s="157">
        <f t="shared" si="59"/>
        <v>314657.98798019486</v>
      </c>
      <c r="AJ20" s="157">
        <f t="shared" si="59"/>
        <v>325382.13295014534</v>
      </c>
      <c r="AK20" s="157">
        <f t="shared" si="59"/>
        <v>336133.08828252071</v>
      </c>
      <c r="AL20" s="157">
        <f t="shared" si="59"/>
        <v>346910.92100322701</v>
      </c>
      <c r="AM20" s="157">
        <f t="shared" si="59"/>
        <v>357715.69830573507</v>
      </c>
      <c r="AN20" s="157">
        <f t="shared" si="59"/>
        <v>368547.48755149939</v>
      </c>
      <c r="AO20" s="157">
        <f t="shared" si="59"/>
        <v>379406.35627037811</v>
      </c>
      <c r="AP20" s="157">
        <f t="shared" si="59"/>
        <v>390292.37216105405</v>
      </c>
      <c r="AQ20" s="157">
        <f t="shared" si="59"/>
        <v>401205.60309145669</v>
      </c>
      <c r="AR20" s="157">
        <f t="shared" si="59"/>
        <v>412146.1170991853</v>
      </c>
      <c r="AS20" s="157">
        <f t="shared" si="59"/>
        <v>423113.98239193327</v>
      </c>
      <c r="AT20" s="157">
        <f t="shared" si="59"/>
        <v>434109.26734791306</v>
      </c>
      <c r="AU20" s="157">
        <f t="shared" si="59"/>
        <v>445132.04051628284</v>
      </c>
      <c r="AV20" s="157">
        <f t="shared" si="59"/>
        <v>456182.3706175735</v>
      </c>
      <c r="AW20" s="157">
        <f t="shared" si="59"/>
        <v>467260.32654411742</v>
      </c>
      <c r="AX20" s="157">
        <f t="shared" si="59"/>
        <v>478365.97736047767</v>
      </c>
      <c r="AY20" s="157">
        <f t="shared" si="59"/>
        <v>489499.39230387885</v>
      </c>
      <c r="AZ20" s="157">
        <f t="shared" si="59"/>
        <v>500660.64078463853</v>
      </c>
      <c r="BA20" s="157">
        <f t="shared" si="59"/>
        <v>511849.79238660011</v>
      </c>
      <c r="BB20" s="157">
        <f t="shared" si="59"/>
        <v>523066.91686756659</v>
      </c>
      <c r="BC20" s="157">
        <f t="shared" si="59"/>
        <v>534312.08415973547</v>
      </c>
      <c r="BD20" s="157">
        <f t="shared" si="59"/>
        <v>545585.36437013478</v>
      </c>
      <c r="BE20" s="157">
        <f t="shared" si="59"/>
        <v>556886.82778106013</v>
      </c>
      <c r="BF20" s="157">
        <f t="shared" si="59"/>
        <v>568216.54485051276</v>
      </c>
      <c r="BG20" s="157">
        <f t="shared" si="59"/>
        <v>579574.586212639</v>
      </c>
      <c r="BH20" s="157">
        <f t="shared" si="59"/>
        <v>590961.02267817059</v>
      </c>
      <c r="BI20" s="157">
        <f t="shared" si="59"/>
        <v>602375.92523486598</v>
      </c>
      <c r="BJ20" s="157">
        <f t="shared" si="59"/>
        <v>613819.36504795309</v>
      </c>
      <c r="BK20" s="157">
        <f t="shared" si="59"/>
        <v>625291.41346057295</v>
      </c>
      <c r="BL20" s="157">
        <f t="shared" si="59"/>
        <v>636792.1419942244</v>
      </c>
      <c r="BM20" s="157">
        <f t="shared" si="59"/>
        <v>648321.62234920997</v>
      </c>
      <c r="BN20" s="157">
        <f t="shared" si="59"/>
        <v>659879.92640508292</v>
      </c>
      <c r="BO20" s="157">
        <f t="shared" si="59"/>
        <v>671467.12622109556</v>
      </c>
      <c r="BP20" s="157">
        <f t="shared" si="59"/>
        <v>683083.29403664824</v>
      </c>
    </row>
    <row r="21" spans="2:68" s="157" customFormat="1" ht="11.25" customHeight="1" x14ac:dyDescent="0.2">
      <c r="C21" s="157" t="s">
        <v>109</v>
      </c>
    </row>
    <row r="22" spans="2:68" s="157" customFormat="1" ht="11.25" customHeight="1" x14ac:dyDescent="0.2">
      <c r="C22" s="157" t="s">
        <v>111</v>
      </c>
      <c r="D22" s="158">
        <f t="shared" ref="D22:F22" si="60">D20-D21</f>
        <v>15000</v>
      </c>
      <c r="E22" s="158">
        <f t="shared" si="60"/>
        <v>15000</v>
      </c>
      <c r="F22" s="158">
        <f t="shared" si="60"/>
        <v>15000</v>
      </c>
      <c r="G22" s="158">
        <f>G20-G21</f>
        <v>25000</v>
      </c>
      <c r="H22" s="158">
        <f>H20-H21</f>
        <v>35000</v>
      </c>
      <c r="I22" s="158">
        <f t="shared" ref="I22:BP22" si="61">I20-I21</f>
        <v>45025</v>
      </c>
      <c r="J22" s="158">
        <f t="shared" si="61"/>
        <v>55075.0625</v>
      </c>
      <c r="K22" s="158">
        <f t="shared" si="61"/>
        <v>65150.250156249997</v>
      </c>
      <c r="L22" s="158">
        <f t="shared" si="61"/>
        <v>75250.625781640614</v>
      </c>
      <c r="M22" s="158">
        <f t="shared" si="61"/>
        <v>85376.252346094712</v>
      </c>
      <c r="N22" s="158">
        <f t="shared" si="61"/>
        <v>95527.192976959952</v>
      </c>
      <c r="O22" s="158">
        <f t="shared" si="61"/>
        <v>105703.51095940235</v>
      </c>
      <c r="P22" s="158">
        <f t="shared" si="61"/>
        <v>115905.26973680085</v>
      </c>
      <c r="Q22" s="158">
        <f t="shared" si="61"/>
        <v>126132.53291114286</v>
      </c>
      <c r="R22" s="158">
        <f t="shared" si="61"/>
        <v>136385.36424342071</v>
      </c>
      <c r="S22" s="158">
        <f t="shared" si="61"/>
        <v>146663.82765402927</v>
      </c>
      <c r="T22" s="158">
        <f t="shared" si="61"/>
        <v>156967.98722316435</v>
      </c>
      <c r="U22" s="158">
        <f t="shared" si="61"/>
        <v>167297.90719122227</v>
      </c>
      <c r="V22" s="158">
        <f t="shared" si="61"/>
        <v>177653.65195920033</v>
      </c>
      <c r="W22" s="158">
        <f t="shared" si="61"/>
        <v>188035.28608909831</v>
      </c>
      <c r="X22" s="158">
        <f t="shared" si="61"/>
        <v>198442.87430432104</v>
      </c>
      <c r="Y22" s="158">
        <f t="shared" si="61"/>
        <v>208876.48149008185</v>
      </c>
      <c r="Z22" s="158">
        <f t="shared" si="61"/>
        <v>219336.17269380705</v>
      </c>
      <c r="AA22" s="158">
        <f t="shared" si="61"/>
        <v>229822.01312554156</v>
      </c>
      <c r="AB22" s="158">
        <f t="shared" si="61"/>
        <v>240334.0681583554</v>
      </c>
      <c r="AC22" s="158">
        <f t="shared" si="61"/>
        <v>250872.40332875127</v>
      </c>
      <c r="AD22" s="158">
        <f t="shared" si="61"/>
        <v>261437.08433707315</v>
      </c>
      <c r="AE22" s="158">
        <f t="shared" si="61"/>
        <v>272028.17704791581</v>
      </c>
      <c r="AF22" s="158">
        <f t="shared" si="61"/>
        <v>282645.74749053561</v>
      </c>
      <c r="AG22" s="158">
        <f t="shared" si="61"/>
        <v>293289.86185926193</v>
      </c>
      <c r="AH22" s="158">
        <f t="shared" si="61"/>
        <v>303960.58651391009</v>
      </c>
      <c r="AI22" s="158">
        <f t="shared" si="61"/>
        <v>314657.98798019486</v>
      </c>
      <c r="AJ22" s="158">
        <f t="shared" si="61"/>
        <v>325382.13295014534</v>
      </c>
      <c r="AK22" s="158">
        <f t="shared" si="61"/>
        <v>336133.08828252071</v>
      </c>
      <c r="AL22" s="158">
        <f t="shared" si="61"/>
        <v>346910.92100322701</v>
      </c>
      <c r="AM22" s="158">
        <f t="shared" si="61"/>
        <v>357715.69830573507</v>
      </c>
      <c r="AN22" s="158">
        <f t="shared" si="61"/>
        <v>368547.48755149939</v>
      </c>
      <c r="AO22" s="158">
        <f t="shared" si="61"/>
        <v>379406.35627037811</v>
      </c>
      <c r="AP22" s="158">
        <f t="shared" si="61"/>
        <v>390292.37216105405</v>
      </c>
      <c r="AQ22" s="158">
        <f t="shared" si="61"/>
        <v>401205.60309145669</v>
      </c>
      <c r="AR22" s="158">
        <f t="shared" si="61"/>
        <v>412146.1170991853</v>
      </c>
      <c r="AS22" s="158">
        <f t="shared" si="61"/>
        <v>423113.98239193327</v>
      </c>
      <c r="AT22" s="158">
        <f t="shared" si="61"/>
        <v>434109.26734791306</v>
      </c>
      <c r="AU22" s="158">
        <f t="shared" si="61"/>
        <v>445132.04051628284</v>
      </c>
      <c r="AV22" s="158">
        <f t="shared" si="61"/>
        <v>456182.3706175735</v>
      </c>
      <c r="AW22" s="158">
        <f t="shared" si="61"/>
        <v>467260.32654411742</v>
      </c>
      <c r="AX22" s="158">
        <f t="shared" si="61"/>
        <v>478365.97736047767</v>
      </c>
      <c r="AY22" s="158">
        <f t="shared" si="61"/>
        <v>489499.39230387885</v>
      </c>
      <c r="AZ22" s="158">
        <f t="shared" si="61"/>
        <v>500660.64078463853</v>
      </c>
      <c r="BA22" s="158">
        <f t="shared" si="61"/>
        <v>511849.79238660011</v>
      </c>
      <c r="BB22" s="158">
        <f t="shared" si="61"/>
        <v>523066.91686756659</v>
      </c>
      <c r="BC22" s="158">
        <f t="shared" si="61"/>
        <v>534312.08415973547</v>
      </c>
      <c r="BD22" s="158">
        <f t="shared" si="61"/>
        <v>545585.36437013478</v>
      </c>
      <c r="BE22" s="158">
        <f t="shared" si="61"/>
        <v>556886.82778106013</v>
      </c>
      <c r="BF22" s="158">
        <f t="shared" si="61"/>
        <v>568216.54485051276</v>
      </c>
      <c r="BG22" s="158">
        <f t="shared" si="61"/>
        <v>579574.586212639</v>
      </c>
      <c r="BH22" s="158">
        <f t="shared" si="61"/>
        <v>590961.02267817059</v>
      </c>
      <c r="BI22" s="158">
        <f t="shared" si="61"/>
        <v>602375.92523486598</v>
      </c>
      <c r="BJ22" s="158">
        <f t="shared" si="61"/>
        <v>613819.36504795309</v>
      </c>
      <c r="BK22" s="158">
        <f t="shared" si="61"/>
        <v>625291.41346057295</v>
      </c>
      <c r="BL22" s="158">
        <f t="shared" si="61"/>
        <v>636792.1419942244</v>
      </c>
      <c r="BM22" s="158">
        <f t="shared" si="61"/>
        <v>648321.62234920997</v>
      </c>
      <c r="BN22" s="158">
        <f t="shared" si="61"/>
        <v>659879.92640508292</v>
      </c>
      <c r="BO22" s="158">
        <f t="shared" si="61"/>
        <v>671467.12622109556</v>
      </c>
      <c r="BP22" s="158">
        <f t="shared" si="61"/>
        <v>683083.29403664824</v>
      </c>
    </row>
    <row r="23" spans="2:68" s="157" customFormat="1" ht="11.25" customHeight="1" x14ac:dyDescent="0.2">
      <c r="C23" s="157" t="str">
        <f>'Ass &amp; ScenarioAnalysis'!B15</f>
        <v xml:space="preserve">Average Monthly Transaction per card </v>
      </c>
      <c r="H23" s="157">
        <f>'Ass &amp; ScenarioAnalysis'!C15</f>
        <v>4000</v>
      </c>
      <c r="I23" s="157">
        <f>H23*(1+I24)</f>
        <v>4000</v>
      </c>
      <c r="J23" s="157">
        <f t="shared" ref="J23:BP23" si="62">I23*(1+J24)</f>
        <v>4000</v>
      </c>
      <c r="K23" s="157">
        <f t="shared" si="62"/>
        <v>4000</v>
      </c>
      <c r="L23" s="157">
        <f t="shared" si="62"/>
        <v>4000</v>
      </c>
      <c r="M23" s="157">
        <f t="shared" si="62"/>
        <v>4000</v>
      </c>
      <c r="N23" s="157">
        <f t="shared" si="62"/>
        <v>4000</v>
      </c>
      <c r="O23" s="157">
        <f t="shared" si="62"/>
        <v>4000</v>
      </c>
      <c r="P23" s="157">
        <f t="shared" si="62"/>
        <v>4000</v>
      </c>
      <c r="Q23" s="157">
        <f t="shared" si="62"/>
        <v>4000</v>
      </c>
      <c r="R23" s="157">
        <f t="shared" si="62"/>
        <v>4000</v>
      </c>
      <c r="S23" s="157">
        <f t="shared" si="62"/>
        <v>4000</v>
      </c>
      <c r="T23" s="157">
        <f t="shared" si="62"/>
        <v>4000</v>
      </c>
      <c r="U23" s="157">
        <f t="shared" si="62"/>
        <v>4000</v>
      </c>
      <c r="V23" s="157">
        <f t="shared" si="62"/>
        <v>4000</v>
      </c>
      <c r="W23" s="157">
        <f t="shared" si="62"/>
        <v>4000</v>
      </c>
      <c r="X23" s="157">
        <f t="shared" si="62"/>
        <v>4000</v>
      </c>
      <c r="Y23" s="157">
        <f t="shared" si="62"/>
        <v>4000</v>
      </c>
      <c r="Z23" s="157">
        <f t="shared" si="62"/>
        <v>4000</v>
      </c>
      <c r="AA23" s="157">
        <f t="shared" si="62"/>
        <v>4000</v>
      </c>
      <c r="AB23" s="157">
        <f t="shared" si="62"/>
        <v>4000</v>
      </c>
      <c r="AC23" s="157">
        <f t="shared" si="62"/>
        <v>4000</v>
      </c>
      <c r="AD23" s="157">
        <f t="shared" si="62"/>
        <v>4000</v>
      </c>
      <c r="AE23" s="157">
        <f t="shared" si="62"/>
        <v>4000</v>
      </c>
      <c r="AF23" s="157">
        <f t="shared" si="62"/>
        <v>4000</v>
      </c>
      <c r="AG23" s="157">
        <f t="shared" si="62"/>
        <v>4000</v>
      </c>
      <c r="AH23" s="157">
        <f t="shared" si="62"/>
        <v>4000</v>
      </c>
      <c r="AI23" s="157">
        <f t="shared" si="62"/>
        <v>4000</v>
      </c>
      <c r="AJ23" s="157">
        <f t="shared" si="62"/>
        <v>4000</v>
      </c>
      <c r="AK23" s="157">
        <f t="shared" si="62"/>
        <v>4000</v>
      </c>
      <c r="AL23" s="157">
        <f t="shared" si="62"/>
        <v>4000</v>
      </c>
      <c r="AM23" s="157">
        <f t="shared" si="62"/>
        <v>4000</v>
      </c>
      <c r="AN23" s="157">
        <f t="shared" si="62"/>
        <v>4000</v>
      </c>
      <c r="AO23" s="157">
        <f t="shared" si="62"/>
        <v>4000</v>
      </c>
      <c r="AP23" s="157">
        <f t="shared" si="62"/>
        <v>4000</v>
      </c>
      <c r="AQ23" s="157">
        <f t="shared" si="62"/>
        <v>4000</v>
      </c>
      <c r="AR23" s="157">
        <f t="shared" si="62"/>
        <v>4000</v>
      </c>
      <c r="AS23" s="157">
        <f t="shared" si="62"/>
        <v>4000</v>
      </c>
      <c r="AT23" s="157">
        <f t="shared" si="62"/>
        <v>4000</v>
      </c>
      <c r="AU23" s="157">
        <f t="shared" si="62"/>
        <v>4000</v>
      </c>
      <c r="AV23" s="157">
        <f t="shared" si="62"/>
        <v>4000</v>
      </c>
      <c r="AW23" s="157">
        <f t="shared" si="62"/>
        <v>4000</v>
      </c>
      <c r="AX23" s="157">
        <f t="shared" si="62"/>
        <v>4000</v>
      </c>
      <c r="AY23" s="157">
        <f t="shared" si="62"/>
        <v>4000</v>
      </c>
      <c r="AZ23" s="157">
        <f t="shared" si="62"/>
        <v>4000</v>
      </c>
      <c r="BA23" s="157">
        <f t="shared" si="62"/>
        <v>4000</v>
      </c>
      <c r="BB23" s="157">
        <f t="shared" si="62"/>
        <v>4000</v>
      </c>
      <c r="BC23" s="157">
        <f t="shared" si="62"/>
        <v>4000</v>
      </c>
      <c r="BD23" s="157">
        <f t="shared" si="62"/>
        <v>4000</v>
      </c>
      <c r="BE23" s="157">
        <f t="shared" si="62"/>
        <v>4000</v>
      </c>
      <c r="BF23" s="157">
        <f t="shared" si="62"/>
        <v>4000</v>
      </c>
      <c r="BG23" s="157">
        <f t="shared" si="62"/>
        <v>4000</v>
      </c>
      <c r="BH23" s="157">
        <f t="shared" si="62"/>
        <v>4000</v>
      </c>
      <c r="BI23" s="157">
        <f t="shared" si="62"/>
        <v>4000</v>
      </c>
      <c r="BJ23" s="157">
        <f t="shared" si="62"/>
        <v>4000</v>
      </c>
      <c r="BK23" s="157">
        <f t="shared" si="62"/>
        <v>4000</v>
      </c>
      <c r="BL23" s="157">
        <f t="shared" si="62"/>
        <v>4000</v>
      </c>
      <c r="BM23" s="157">
        <f t="shared" si="62"/>
        <v>4000</v>
      </c>
      <c r="BN23" s="157">
        <f t="shared" si="62"/>
        <v>4000</v>
      </c>
      <c r="BO23" s="157">
        <f t="shared" si="62"/>
        <v>4000</v>
      </c>
      <c r="BP23" s="157">
        <f t="shared" si="62"/>
        <v>4000</v>
      </c>
    </row>
    <row r="24" spans="2:68" s="157" customFormat="1" ht="11.25" customHeight="1" x14ac:dyDescent="0.2">
      <c r="C24" s="157" t="str">
        <f>'Ass &amp; ScenarioAnalysis'!B16</f>
        <v>Monthly Transaction Growth Rate</v>
      </c>
      <c r="I24" s="210"/>
      <c r="J24" s="210">
        <f>I24</f>
        <v>0</v>
      </c>
      <c r="K24" s="210">
        <f t="shared" ref="K24:BP24" si="63">J24</f>
        <v>0</v>
      </c>
      <c r="L24" s="210">
        <f t="shared" si="63"/>
        <v>0</v>
      </c>
      <c r="M24" s="210">
        <f t="shared" si="63"/>
        <v>0</v>
      </c>
      <c r="N24" s="210">
        <f t="shared" si="63"/>
        <v>0</v>
      </c>
      <c r="O24" s="210">
        <f t="shared" si="63"/>
        <v>0</v>
      </c>
      <c r="P24" s="210">
        <f t="shared" si="63"/>
        <v>0</v>
      </c>
      <c r="Q24" s="210">
        <f t="shared" si="63"/>
        <v>0</v>
      </c>
      <c r="R24" s="210">
        <f t="shared" si="63"/>
        <v>0</v>
      </c>
      <c r="S24" s="210">
        <f t="shared" si="63"/>
        <v>0</v>
      </c>
      <c r="T24" s="210">
        <f t="shared" si="63"/>
        <v>0</v>
      </c>
      <c r="U24" s="210">
        <f t="shared" si="63"/>
        <v>0</v>
      </c>
      <c r="V24" s="210">
        <f t="shared" si="63"/>
        <v>0</v>
      </c>
      <c r="W24" s="210">
        <f t="shared" si="63"/>
        <v>0</v>
      </c>
      <c r="X24" s="210">
        <f t="shared" si="63"/>
        <v>0</v>
      </c>
      <c r="Y24" s="210">
        <f t="shared" si="63"/>
        <v>0</v>
      </c>
      <c r="Z24" s="210">
        <f t="shared" si="63"/>
        <v>0</v>
      </c>
      <c r="AA24" s="210">
        <f t="shared" si="63"/>
        <v>0</v>
      </c>
      <c r="AB24" s="210">
        <f t="shared" si="63"/>
        <v>0</v>
      </c>
      <c r="AC24" s="210">
        <f t="shared" si="63"/>
        <v>0</v>
      </c>
      <c r="AD24" s="210">
        <f t="shared" si="63"/>
        <v>0</v>
      </c>
      <c r="AE24" s="210">
        <f t="shared" si="63"/>
        <v>0</v>
      </c>
      <c r="AF24" s="210">
        <f t="shared" si="63"/>
        <v>0</v>
      </c>
      <c r="AG24" s="210">
        <f t="shared" si="63"/>
        <v>0</v>
      </c>
      <c r="AH24" s="210">
        <f t="shared" si="63"/>
        <v>0</v>
      </c>
      <c r="AI24" s="210">
        <f t="shared" si="63"/>
        <v>0</v>
      </c>
      <c r="AJ24" s="210">
        <f t="shared" si="63"/>
        <v>0</v>
      </c>
      <c r="AK24" s="210">
        <f t="shared" si="63"/>
        <v>0</v>
      </c>
      <c r="AL24" s="210">
        <f t="shared" si="63"/>
        <v>0</v>
      </c>
      <c r="AM24" s="210">
        <f t="shared" si="63"/>
        <v>0</v>
      </c>
      <c r="AN24" s="210">
        <f t="shared" si="63"/>
        <v>0</v>
      </c>
      <c r="AO24" s="210">
        <f t="shared" si="63"/>
        <v>0</v>
      </c>
      <c r="AP24" s="210">
        <f t="shared" si="63"/>
        <v>0</v>
      </c>
      <c r="AQ24" s="210">
        <f t="shared" si="63"/>
        <v>0</v>
      </c>
      <c r="AR24" s="210">
        <f t="shared" si="63"/>
        <v>0</v>
      </c>
      <c r="AS24" s="210">
        <f t="shared" si="63"/>
        <v>0</v>
      </c>
      <c r="AT24" s="210">
        <f t="shared" si="63"/>
        <v>0</v>
      </c>
      <c r="AU24" s="210">
        <f t="shared" si="63"/>
        <v>0</v>
      </c>
      <c r="AV24" s="210">
        <f t="shared" si="63"/>
        <v>0</v>
      </c>
      <c r="AW24" s="210">
        <f t="shared" si="63"/>
        <v>0</v>
      </c>
      <c r="AX24" s="210">
        <f t="shared" si="63"/>
        <v>0</v>
      </c>
      <c r="AY24" s="210">
        <f t="shared" si="63"/>
        <v>0</v>
      </c>
      <c r="AZ24" s="210">
        <f t="shared" si="63"/>
        <v>0</v>
      </c>
      <c r="BA24" s="210">
        <f t="shared" si="63"/>
        <v>0</v>
      </c>
      <c r="BB24" s="210">
        <f t="shared" si="63"/>
        <v>0</v>
      </c>
      <c r="BC24" s="210">
        <f t="shared" si="63"/>
        <v>0</v>
      </c>
      <c r="BD24" s="210">
        <f t="shared" si="63"/>
        <v>0</v>
      </c>
      <c r="BE24" s="210">
        <f t="shared" si="63"/>
        <v>0</v>
      </c>
      <c r="BF24" s="210">
        <f t="shared" si="63"/>
        <v>0</v>
      </c>
      <c r="BG24" s="210">
        <f t="shared" si="63"/>
        <v>0</v>
      </c>
      <c r="BH24" s="210">
        <f t="shared" si="63"/>
        <v>0</v>
      </c>
      <c r="BI24" s="210">
        <f t="shared" si="63"/>
        <v>0</v>
      </c>
      <c r="BJ24" s="210">
        <f t="shared" si="63"/>
        <v>0</v>
      </c>
      <c r="BK24" s="210">
        <f t="shared" si="63"/>
        <v>0</v>
      </c>
      <c r="BL24" s="210">
        <f t="shared" si="63"/>
        <v>0</v>
      </c>
      <c r="BM24" s="210">
        <f t="shared" si="63"/>
        <v>0</v>
      </c>
      <c r="BN24" s="210">
        <f t="shared" si="63"/>
        <v>0</v>
      </c>
      <c r="BO24" s="210">
        <f t="shared" si="63"/>
        <v>0</v>
      </c>
      <c r="BP24" s="210">
        <f t="shared" si="63"/>
        <v>0</v>
      </c>
    </row>
    <row r="25" spans="2:68" s="157" customFormat="1" ht="11.25" customHeight="1" x14ac:dyDescent="0.2">
      <c r="C25" s="157" t="s">
        <v>112</v>
      </c>
      <c r="H25" s="157">
        <f>H23*'Ass &amp; ScenarioAnalysis'!$C$14*Revenue!H22</f>
        <v>1050000</v>
      </c>
      <c r="I25" s="157">
        <f>I23*'Ass &amp; ScenarioAnalysis'!$C$14*Revenue!I22</f>
        <v>1350750</v>
      </c>
      <c r="J25" s="157">
        <f>J23*'Ass &amp; ScenarioAnalysis'!$C$14*Revenue!J22</f>
        <v>1652251.875</v>
      </c>
      <c r="K25" s="157">
        <f>K23*'Ass &amp; ScenarioAnalysis'!$C$14*Revenue!K22</f>
        <v>1954507.5046875</v>
      </c>
      <c r="L25" s="157">
        <f>L23*'Ass &amp; ScenarioAnalysis'!$C$14*Revenue!L22</f>
        <v>2257518.7734492184</v>
      </c>
      <c r="M25" s="157">
        <f>M23*'Ass &amp; ScenarioAnalysis'!$C$14*Revenue!M22</f>
        <v>2561287.5703828414</v>
      </c>
      <c r="N25" s="157">
        <f>N23*'Ass &amp; ScenarioAnalysis'!$C$14*Revenue!N22</f>
        <v>2865815.7893087985</v>
      </c>
      <c r="O25" s="157">
        <f>O23*'Ass &amp; ScenarioAnalysis'!$C$14*Revenue!O22</f>
        <v>3171105.3287820704</v>
      </c>
      <c r="P25" s="157">
        <f>P23*'Ass &amp; ScenarioAnalysis'!$C$14*Revenue!P22</f>
        <v>3477158.0921040257</v>
      </c>
      <c r="Q25" s="157">
        <f>Q23*'Ass &amp; ScenarioAnalysis'!$C$14*Revenue!Q22</f>
        <v>3783975.9873342859</v>
      </c>
      <c r="R25" s="157">
        <f>R23*'Ass &amp; ScenarioAnalysis'!$C$14*Revenue!R22</f>
        <v>4091560.9273026213</v>
      </c>
      <c r="S25" s="157">
        <f>S23*'Ass &amp; ScenarioAnalysis'!$C$14*Revenue!S22</f>
        <v>4399914.8296208782</v>
      </c>
      <c r="T25" s="157">
        <f>T23*'Ass &amp; ScenarioAnalysis'!$C$14*Revenue!T22</f>
        <v>4709039.6166949309</v>
      </c>
      <c r="U25" s="157">
        <f>U23*'Ass &amp; ScenarioAnalysis'!$C$14*Revenue!U22</f>
        <v>5018937.2157366686</v>
      </c>
      <c r="V25" s="157">
        <f>V23*'Ass &amp; ScenarioAnalysis'!$C$14*Revenue!V22</f>
        <v>5329609.5587760098</v>
      </c>
      <c r="W25" s="157">
        <f>W23*'Ass &amp; ScenarioAnalysis'!$C$14*Revenue!W22</f>
        <v>5641058.5826729499</v>
      </c>
      <c r="X25" s="157">
        <f>X23*'Ass &amp; ScenarioAnalysis'!$C$14*Revenue!X22</f>
        <v>5953286.2291296311</v>
      </c>
      <c r="Y25" s="157">
        <f>Y23*'Ass &amp; ScenarioAnalysis'!$C$14*Revenue!Y22</f>
        <v>6266294.4447024558</v>
      </c>
      <c r="Z25" s="157">
        <f>Z23*'Ass &amp; ScenarioAnalysis'!$C$14*Revenue!Z22</f>
        <v>6580085.1808142113</v>
      </c>
      <c r="AA25" s="157">
        <f>AA23*'Ass &amp; ScenarioAnalysis'!$C$14*Revenue!AA22</f>
        <v>6894660.3937662467</v>
      </c>
      <c r="AB25" s="157">
        <f>AB23*'Ass &amp; ScenarioAnalysis'!$C$14*Revenue!AB22</f>
        <v>7210022.0447506616</v>
      </c>
      <c r="AC25" s="157">
        <f>AC23*'Ass &amp; ScenarioAnalysis'!$C$14*Revenue!AC22</f>
        <v>7526172.0998625383</v>
      </c>
      <c r="AD25" s="157">
        <f>AD23*'Ass &amp; ScenarioAnalysis'!$C$14*Revenue!AD22</f>
        <v>7843112.5301121939</v>
      </c>
      <c r="AE25" s="157">
        <f>AE23*'Ass &amp; ScenarioAnalysis'!$C$14*Revenue!AE22</f>
        <v>8160845.3114374746</v>
      </c>
      <c r="AF25" s="157">
        <f>AF23*'Ass &amp; ScenarioAnalysis'!$C$14*Revenue!AF22</f>
        <v>8479372.4247160684</v>
      </c>
      <c r="AG25" s="157">
        <f>AG23*'Ass &amp; ScenarioAnalysis'!$C$14*Revenue!AG22</f>
        <v>8798695.8557778578</v>
      </c>
      <c r="AH25" s="157">
        <f>AH23*'Ass &amp; ScenarioAnalysis'!$C$14*Revenue!AH22</f>
        <v>9118817.5954173021</v>
      </c>
      <c r="AI25" s="157">
        <f>AI23*'Ass &amp; ScenarioAnalysis'!$C$14*Revenue!AI22</f>
        <v>9439739.6394058466</v>
      </c>
      <c r="AJ25" s="157">
        <f>AJ23*'Ass &amp; ScenarioAnalysis'!$C$14*Revenue!AJ22</f>
        <v>9761463.9885043595</v>
      </c>
      <c r="AK25" s="157">
        <f>AK23*'Ass &amp; ScenarioAnalysis'!$C$14*Revenue!AK22</f>
        <v>10083992.648475621</v>
      </c>
      <c r="AL25" s="157">
        <f>AL23*'Ass &amp; ScenarioAnalysis'!$C$14*Revenue!AL22</f>
        <v>10407327.63009681</v>
      </c>
      <c r="AM25" s="157">
        <f>AM23*'Ass &amp; ScenarioAnalysis'!$C$14*Revenue!AM22</f>
        <v>10731470.949172052</v>
      </c>
      <c r="AN25" s="157">
        <f>AN23*'Ass &amp; ScenarioAnalysis'!$C$14*Revenue!AN22</f>
        <v>11056424.626544982</v>
      </c>
      <c r="AO25" s="157">
        <f>AO23*'Ass &amp; ScenarioAnalysis'!$C$14*Revenue!AO22</f>
        <v>11382190.688111342</v>
      </c>
      <c r="AP25" s="157">
        <f>AP23*'Ass &amp; ScenarioAnalysis'!$C$14*Revenue!AP22</f>
        <v>11708771.164831622</v>
      </c>
      <c r="AQ25" s="157">
        <f>AQ23*'Ass &amp; ScenarioAnalysis'!$C$14*Revenue!AQ22</f>
        <v>12036168.0927437</v>
      </c>
      <c r="AR25" s="157">
        <f>AR23*'Ass &amp; ScenarioAnalysis'!$C$14*Revenue!AR22</f>
        <v>12364383.512975559</v>
      </c>
      <c r="AS25" s="157">
        <f>AS23*'Ass &amp; ScenarioAnalysis'!$C$14*Revenue!AS22</f>
        <v>12693419.471757999</v>
      </c>
      <c r="AT25" s="157">
        <f>AT23*'Ass &amp; ScenarioAnalysis'!$C$14*Revenue!AT22</f>
        <v>13023278.020437391</v>
      </c>
      <c r="AU25" s="157">
        <f>AU23*'Ass &amp; ScenarioAnalysis'!$C$14*Revenue!AU22</f>
        <v>13353961.215488486</v>
      </c>
      <c r="AV25" s="157">
        <f>AV23*'Ass &amp; ScenarioAnalysis'!$C$14*Revenue!AV22</f>
        <v>13685471.118527206</v>
      </c>
      <c r="AW25" s="157">
        <f>AW23*'Ass &amp; ScenarioAnalysis'!$C$14*Revenue!AW22</f>
        <v>14017809.796323523</v>
      </c>
      <c r="AX25" s="157">
        <f>AX23*'Ass &amp; ScenarioAnalysis'!$C$14*Revenue!AX22</f>
        <v>14350979.32081433</v>
      </c>
      <c r="AY25" s="157">
        <f>AY23*'Ass &amp; ScenarioAnalysis'!$C$14*Revenue!AY22</f>
        <v>14684981.769116366</v>
      </c>
      <c r="AZ25" s="157">
        <f>AZ23*'Ass &amp; ScenarioAnalysis'!$C$14*Revenue!AZ22</f>
        <v>15019819.223539155</v>
      </c>
      <c r="BA25" s="157">
        <f>BA23*'Ass &amp; ScenarioAnalysis'!$C$14*Revenue!BA22</f>
        <v>15355493.771598004</v>
      </c>
      <c r="BB25" s="157">
        <f>BB23*'Ass &amp; ScenarioAnalysis'!$C$14*Revenue!BB22</f>
        <v>15692007.506026998</v>
      </c>
      <c r="BC25" s="157">
        <f>BC23*'Ass &amp; ScenarioAnalysis'!$C$14*Revenue!BC22</f>
        <v>16029362.524792064</v>
      </c>
      <c r="BD25" s="157">
        <f>BD23*'Ass &amp; ScenarioAnalysis'!$C$14*Revenue!BD22</f>
        <v>16367560.931104043</v>
      </c>
      <c r="BE25" s="157">
        <f>BE23*'Ass &amp; ScenarioAnalysis'!$C$14*Revenue!BE22</f>
        <v>16706604.833431805</v>
      </c>
      <c r="BF25" s="157">
        <f>BF23*'Ass &amp; ScenarioAnalysis'!$C$14*Revenue!BF22</f>
        <v>17046496.345515382</v>
      </c>
      <c r="BG25" s="157">
        <f>BG23*'Ass &amp; ScenarioAnalysis'!$C$14*Revenue!BG22</f>
        <v>17387237.58637917</v>
      </c>
      <c r="BH25" s="157">
        <f>BH23*'Ass &amp; ScenarioAnalysis'!$C$14*Revenue!BH22</f>
        <v>17728830.680345118</v>
      </c>
      <c r="BI25" s="157">
        <f>BI23*'Ass &amp; ScenarioAnalysis'!$C$14*Revenue!BI22</f>
        <v>18071277.757045981</v>
      </c>
      <c r="BJ25" s="157">
        <f>BJ23*'Ass &amp; ScenarioAnalysis'!$C$14*Revenue!BJ22</f>
        <v>18414580.951438591</v>
      </c>
      <c r="BK25" s="157">
        <f>BK23*'Ass &amp; ScenarioAnalysis'!$C$14*Revenue!BK22</f>
        <v>18758742.403817188</v>
      </c>
      <c r="BL25" s="157">
        <f>BL23*'Ass &amp; ScenarioAnalysis'!$C$14*Revenue!BL22</f>
        <v>19103764.259826731</v>
      </c>
      <c r="BM25" s="157">
        <f>BM23*'Ass &amp; ScenarioAnalysis'!$C$14*Revenue!BM22</f>
        <v>19449648.670476299</v>
      </c>
      <c r="BN25" s="157">
        <f>BN23*'Ass &amp; ScenarioAnalysis'!$C$14*Revenue!BN22</f>
        <v>19796397.792152487</v>
      </c>
      <c r="BO25" s="157">
        <f>BO23*'Ass &amp; ScenarioAnalysis'!$C$14*Revenue!BO22</f>
        <v>20144013.786632866</v>
      </c>
      <c r="BP25" s="157">
        <f>BP23*'Ass &amp; ScenarioAnalysis'!$C$14*Revenue!BP22</f>
        <v>20492498.821099445</v>
      </c>
    </row>
    <row r="26" spans="2:68" ht="11.25" customHeight="1" x14ac:dyDescent="0.2">
      <c r="G26" s="159"/>
    </row>
    <row r="28" spans="2:68" ht="11.25" customHeight="1" x14ac:dyDescent="0.2">
      <c r="B28" s="138" t="str">
        <f>'Ass &amp; ScenarioAnalysis'!A18</f>
        <v>Card Load Fee via AutoPay</v>
      </c>
    </row>
    <row r="29" spans="2:68" s="157" customFormat="1" ht="11.25" customHeight="1" x14ac:dyDescent="0.25">
      <c r="C29" s="157" t="s">
        <v>114</v>
      </c>
      <c r="D29" s="75">
        <v>1000</v>
      </c>
      <c r="E29" s="157">
        <f>D32</f>
        <v>1450</v>
      </c>
      <c r="F29" s="157">
        <f t="shared" ref="F29:BP29" si="64">E32</f>
        <v>1953.35</v>
      </c>
      <c r="G29" s="157">
        <f t="shared" si="64"/>
        <v>2460.0724449999998</v>
      </c>
      <c r="H29" s="157">
        <f t="shared" si="64"/>
        <v>2970.1899303814998</v>
      </c>
      <c r="I29" s="157">
        <f t="shared" si="64"/>
        <v>3483.7252029150559</v>
      </c>
      <c r="J29" s="157">
        <f t="shared" si="64"/>
        <v>4000.7011617745866</v>
      </c>
      <c r="K29" s="157">
        <f t="shared" si="64"/>
        <v>4521.1408595584762</v>
      </c>
      <c r="L29" s="157">
        <f t="shared" si="64"/>
        <v>5045.0675033175175</v>
      </c>
      <c r="M29" s="157">
        <f t="shared" si="64"/>
        <v>5572.5044555897448</v>
      </c>
      <c r="N29" s="157">
        <f t="shared" si="64"/>
        <v>6103.4752354421962</v>
      </c>
      <c r="O29" s="157">
        <f t="shared" si="64"/>
        <v>6638.0035195196588</v>
      </c>
      <c r="P29" s="157">
        <f t="shared" si="64"/>
        <v>7176.1131431004396</v>
      </c>
      <c r="Q29" s="157">
        <f t="shared" si="64"/>
        <v>7717.8281011592117</v>
      </c>
      <c r="R29" s="157">
        <f t="shared" si="64"/>
        <v>8263.1725494369784</v>
      </c>
      <c r="S29" s="157">
        <f t="shared" si="64"/>
        <v>8812.1708055182062</v>
      </c>
      <c r="T29" s="157">
        <f t="shared" si="64"/>
        <v>9364.8473499151769</v>
      </c>
      <c r="U29" s="157">
        <f t="shared" si="64"/>
        <v>9921.2268271596076</v>
      </c>
      <c r="V29" s="157">
        <f t="shared" si="64"/>
        <v>10481.334046901577</v>
      </c>
      <c r="W29" s="157">
        <f t="shared" si="64"/>
        <v>11045.193985015816</v>
      </c>
      <c r="X29" s="157">
        <f t="shared" si="64"/>
        <v>11612.831784715421</v>
      </c>
      <c r="Y29" s="157">
        <f t="shared" si="64"/>
        <v>12184.272757673014</v>
      </c>
      <c r="Z29" s="157">
        <f t="shared" si="64"/>
        <v>12759.542385149422</v>
      </c>
      <c r="AA29" s="157">
        <f t="shared" si="64"/>
        <v>13338.666319129921</v>
      </c>
      <c r="AB29" s="157">
        <f t="shared" si="64"/>
        <v>13921.67038346809</v>
      </c>
      <c r="AC29" s="157">
        <f t="shared" si="64"/>
        <v>14508.580575037326</v>
      </c>
      <c r="AD29" s="157">
        <f t="shared" si="64"/>
        <v>15099.423064890074</v>
      </c>
      <c r="AE29" s="157">
        <f t="shared" si="64"/>
        <v>15694.224199424836</v>
      </c>
      <c r="AF29" s="157">
        <f t="shared" si="64"/>
        <v>16293.010501560981</v>
      </c>
      <c r="AG29" s="157">
        <f t="shared" si="64"/>
        <v>16895.808671921437</v>
      </c>
      <c r="AH29" s="157">
        <f t="shared" si="64"/>
        <v>17502.645590023309</v>
      </c>
      <c r="AI29" s="157">
        <f t="shared" si="64"/>
        <v>18113.548315476462</v>
      </c>
      <c r="AJ29" s="157">
        <f t="shared" si="64"/>
        <v>18728.544089190153</v>
      </c>
      <c r="AK29" s="157">
        <f t="shared" si="64"/>
        <v>19347.660334587727</v>
      </c>
      <c r="AL29" s="157">
        <f t="shared" si="64"/>
        <v>19970.924658829463</v>
      </c>
      <c r="AM29" s="157">
        <f t="shared" si="64"/>
        <v>20598.364854043619</v>
      </c>
      <c r="AN29" s="157">
        <f t="shared" si="64"/>
        <v>21230.008898565709</v>
      </c>
      <c r="AO29" s="157">
        <f t="shared" si="64"/>
        <v>21865.8849581861</v>
      </c>
      <c r="AP29" s="157">
        <f t="shared" si="64"/>
        <v>22506.021387405945</v>
      </c>
      <c r="AQ29" s="157">
        <f t="shared" si="64"/>
        <v>23150.446730701562</v>
      </c>
      <c r="AR29" s="157">
        <f t="shared" si="64"/>
        <v>23799.189723797263</v>
      </c>
      <c r="AS29" s="157">
        <f t="shared" si="64"/>
        <v>24452.279294946704</v>
      </c>
      <c r="AT29" s="157">
        <f t="shared" si="64"/>
        <v>25109.744566222846</v>
      </c>
      <c r="AU29" s="157">
        <f t="shared" si="64"/>
        <v>25771.614854816537</v>
      </c>
      <c r="AV29" s="157">
        <f t="shared" si="64"/>
        <v>26437.919674343804</v>
      </c>
      <c r="AW29" s="157">
        <f t="shared" si="64"/>
        <v>27108.688736161905</v>
      </c>
      <c r="AX29" s="157">
        <f t="shared" si="64"/>
        <v>27783.951950694187</v>
      </c>
      <c r="AY29" s="157">
        <f t="shared" si="64"/>
        <v>28463.739428763838</v>
      </c>
      <c r="AZ29" s="157">
        <f t="shared" si="64"/>
        <v>29148.081482936555</v>
      </c>
      <c r="BA29" s="157">
        <f t="shared" si="64"/>
        <v>29837.008628872227</v>
      </c>
      <c r="BB29" s="157">
        <f t="shared" si="64"/>
        <v>30530.551586685669</v>
      </c>
      <c r="BC29" s="157">
        <f t="shared" si="64"/>
        <v>31228.741282316463</v>
      </c>
      <c r="BD29" s="157">
        <f t="shared" si="64"/>
        <v>31931.608848907981</v>
      </c>
      <c r="BE29" s="157">
        <f t="shared" si="64"/>
        <v>32639.185628195664</v>
      </c>
      <c r="BF29" s="157">
        <f t="shared" si="64"/>
        <v>33351.503171904573</v>
      </c>
      <c r="BG29" s="157">
        <f t="shared" si="64"/>
        <v>34068.593243156334</v>
      </c>
      <c r="BH29" s="157">
        <f t="shared" si="64"/>
        <v>34790.487817885478</v>
      </c>
      <c r="BI29" s="157">
        <f t="shared" si="64"/>
        <v>35517.219086265308</v>
      </c>
      <c r="BJ29" s="157">
        <f t="shared" si="64"/>
        <v>36248.819454143282</v>
      </c>
      <c r="BK29" s="157">
        <f t="shared" si="64"/>
        <v>36985.32154448604</v>
      </c>
      <c r="BL29" s="157">
        <f t="shared" si="64"/>
        <v>37726.758198834097</v>
      </c>
      <c r="BM29" s="157">
        <f t="shared" si="64"/>
        <v>38473.16247876628</v>
      </c>
      <c r="BN29" s="157">
        <f t="shared" si="64"/>
        <v>39224.567667374009</v>
      </c>
      <c r="BO29" s="157">
        <f t="shared" si="64"/>
        <v>39981.007270745409</v>
      </c>
      <c r="BP29" s="157">
        <f t="shared" si="64"/>
        <v>40742.515019459403</v>
      </c>
    </row>
    <row r="30" spans="2:68" s="157" customFormat="1" ht="11.25" customHeight="1" x14ac:dyDescent="0.25">
      <c r="C30" s="157" t="s">
        <v>108</v>
      </c>
      <c r="D30" s="75">
        <v>500</v>
      </c>
      <c r="E30" s="157">
        <f>D30*(1+'Ass &amp; ScenarioAnalysis'!$C$20)</f>
        <v>503.34999999999997</v>
      </c>
      <c r="F30" s="157">
        <f>E30*(1+'Ass &amp; ScenarioAnalysis'!$C$20)</f>
        <v>506.72244499999994</v>
      </c>
      <c r="G30" s="157">
        <f>F30*(1+'Ass &amp; ScenarioAnalysis'!$C$20)</f>
        <v>510.11748538149988</v>
      </c>
      <c r="H30" s="157">
        <f>G30*(1+'Ass &amp; ScenarioAnalysis'!$C$20)</f>
        <v>513.53527253355594</v>
      </c>
      <c r="I30" s="157">
        <f>H30*(1+'Ass &amp; ScenarioAnalysis'!$C$20)</f>
        <v>516.97595885953069</v>
      </c>
      <c r="J30" s="157">
        <f>I30*(1+'Ass &amp; ScenarioAnalysis'!$C$20)</f>
        <v>520.43969778388953</v>
      </c>
      <c r="K30" s="157">
        <f>J30*(1+'Ass &amp; ScenarioAnalysis'!$C$20)</f>
        <v>523.92664375904155</v>
      </c>
      <c r="L30" s="157">
        <f>K30*(1+'Ass &amp; ScenarioAnalysis'!$C$20)</f>
        <v>527.43695227222713</v>
      </c>
      <c r="M30" s="157">
        <f>L30*(1+'Ass &amp; ScenarioAnalysis'!$C$20)</f>
        <v>530.97077985245096</v>
      </c>
      <c r="N30" s="157">
        <f>M30*(1+'Ass &amp; ScenarioAnalysis'!$C$20)</f>
        <v>534.52828407746233</v>
      </c>
      <c r="O30" s="157">
        <f>N30*(1+'Ass &amp; ScenarioAnalysis'!$C$20)</f>
        <v>538.10962358078132</v>
      </c>
      <c r="P30" s="157">
        <f>O30*(1+'Ass &amp; ScenarioAnalysis'!$C$20)</f>
        <v>541.71495805877248</v>
      </c>
      <c r="Q30" s="157">
        <f>P30*(1+'Ass &amp; ScenarioAnalysis'!$C$20)</f>
        <v>545.34444827776622</v>
      </c>
      <c r="R30" s="157">
        <f>Q30*(1+'Ass &amp; ScenarioAnalysis'!$C$20)</f>
        <v>548.99825608122717</v>
      </c>
      <c r="S30" s="157">
        <f>R30*(1+'Ass &amp; ScenarioAnalysis'!$C$20)</f>
        <v>552.67654439697139</v>
      </c>
      <c r="T30" s="157">
        <f>S30*(1+'Ass &amp; ScenarioAnalysis'!$C$20)</f>
        <v>556.37947724443109</v>
      </c>
      <c r="U30" s="157">
        <f>T30*(1+'Ass &amp; ScenarioAnalysis'!$C$20)</f>
        <v>560.10721974196872</v>
      </c>
      <c r="V30" s="157">
        <f>U30*(1+'Ass &amp; ScenarioAnalysis'!$C$20)</f>
        <v>563.85993811423987</v>
      </c>
      <c r="W30" s="157">
        <f>V30*(1+'Ass &amp; ScenarioAnalysis'!$C$20)</f>
        <v>567.63779969960524</v>
      </c>
      <c r="X30" s="157">
        <f>W30*(1+'Ass &amp; ScenarioAnalysis'!$C$20)</f>
        <v>571.44097295759252</v>
      </c>
      <c r="Y30" s="157">
        <f>X30*(1+'Ass &amp; ScenarioAnalysis'!$C$20)</f>
        <v>575.26962747640835</v>
      </c>
      <c r="Z30" s="157">
        <f>Y30*(1+'Ass &amp; ScenarioAnalysis'!$C$20)</f>
        <v>579.12393398050028</v>
      </c>
      <c r="AA30" s="157">
        <f>Z30*(1+'Ass &amp; ScenarioAnalysis'!$C$20)</f>
        <v>583.00406433816954</v>
      </c>
      <c r="AB30" s="157">
        <f>AA30*(1+'Ass &amp; ScenarioAnalysis'!$C$20)</f>
        <v>586.91019156923528</v>
      </c>
      <c r="AC30" s="157">
        <f>AB30*(1+'Ass &amp; ScenarioAnalysis'!$C$20)</f>
        <v>590.84248985274917</v>
      </c>
      <c r="AD30" s="157">
        <f>AC30*(1+'Ass &amp; ScenarioAnalysis'!$C$20)</f>
        <v>594.80113453476258</v>
      </c>
      <c r="AE30" s="157">
        <f>AD30*(1+'Ass &amp; ScenarioAnalysis'!$C$20)</f>
        <v>598.78630213614542</v>
      </c>
      <c r="AF30" s="157">
        <f>AE30*(1+'Ass &amp; ScenarioAnalysis'!$C$20)</f>
        <v>602.79817036045756</v>
      </c>
      <c r="AG30" s="157">
        <f>AF30*(1+'Ass &amp; ScenarioAnalysis'!$C$20)</f>
        <v>606.83691810187258</v>
      </c>
      <c r="AH30" s="157">
        <f>AG30*(1+'Ass &amp; ScenarioAnalysis'!$C$20)</f>
        <v>610.90272545315509</v>
      </c>
      <c r="AI30" s="157">
        <f>AH30*(1+'Ass &amp; ScenarioAnalysis'!$C$20)</f>
        <v>614.99577371369116</v>
      </c>
      <c r="AJ30" s="157">
        <f>AI30*(1+'Ass &amp; ScenarioAnalysis'!$C$20)</f>
        <v>619.11624539757281</v>
      </c>
      <c r="AK30" s="157">
        <f>AJ30*(1+'Ass &amp; ScenarioAnalysis'!$C$20)</f>
        <v>623.26432424173652</v>
      </c>
      <c r="AL30" s="157">
        <f>AK30*(1+'Ass &amp; ScenarioAnalysis'!$C$20)</f>
        <v>627.44019521415612</v>
      </c>
      <c r="AM30" s="157">
        <f>AL30*(1+'Ass &amp; ScenarioAnalysis'!$C$20)</f>
        <v>631.64404452209089</v>
      </c>
      <c r="AN30" s="157">
        <f>AM30*(1+'Ass &amp; ScenarioAnalysis'!$C$20)</f>
        <v>635.8760596203889</v>
      </c>
      <c r="AO30" s="157">
        <f>AN30*(1+'Ass &amp; ScenarioAnalysis'!$C$20)</f>
        <v>640.13642921984547</v>
      </c>
      <c r="AP30" s="157">
        <f>AO30*(1+'Ass &amp; ScenarioAnalysis'!$C$20)</f>
        <v>644.4253432956184</v>
      </c>
      <c r="AQ30" s="157">
        <f>AP30*(1+'Ass &amp; ScenarioAnalysis'!$C$20)</f>
        <v>648.74299309569903</v>
      </c>
      <c r="AR30" s="157">
        <f>AQ30*(1+'Ass &amp; ScenarioAnalysis'!$C$20)</f>
        <v>653.08957114944019</v>
      </c>
      <c r="AS30" s="157">
        <f>AR30*(1+'Ass &amp; ScenarioAnalysis'!$C$20)</f>
        <v>657.46527127614138</v>
      </c>
      <c r="AT30" s="157">
        <f>AS30*(1+'Ass &amp; ScenarioAnalysis'!$C$20)</f>
        <v>661.8702885936915</v>
      </c>
      <c r="AU30" s="157">
        <f>AT30*(1+'Ass &amp; ScenarioAnalysis'!$C$20)</f>
        <v>666.30481952726916</v>
      </c>
      <c r="AV30" s="157">
        <f>AU30*(1+'Ass &amp; ScenarioAnalysis'!$C$20)</f>
        <v>670.76906181810182</v>
      </c>
      <c r="AW30" s="157">
        <f>AV30*(1+'Ass &amp; ScenarioAnalysis'!$C$20)</f>
        <v>675.26321453228309</v>
      </c>
      <c r="AX30" s="157">
        <f>AW30*(1+'Ass &amp; ScenarioAnalysis'!$C$20)</f>
        <v>679.7874780696493</v>
      </c>
      <c r="AY30" s="157">
        <f>AX30*(1+'Ass &amp; ScenarioAnalysis'!$C$20)</f>
        <v>684.34205417271585</v>
      </c>
      <c r="AZ30" s="157">
        <f>AY30*(1+'Ass &amp; ScenarioAnalysis'!$C$20)</f>
        <v>688.92714593567302</v>
      </c>
      <c r="BA30" s="157">
        <f>AZ30*(1+'Ass &amp; ScenarioAnalysis'!$C$20)</f>
        <v>693.54295781344194</v>
      </c>
      <c r="BB30" s="157">
        <f>BA30*(1+'Ass &amp; ScenarioAnalysis'!$C$20)</f>
        <v>698.1896956307919</v>
      </c>
      <c r="BC30" s="157">
        <f>BB30*(1+'Ass &amp; ScenarioAnalysis'!$C$20)</f>
        <v>702.8675665915182</v>
      </c>
      <c r="BD30" s="157">
        <f>BC30*(1+'Ass &amp; ScenarioAnalysis'!$C$20)</f>
        <v>707.57677928768135</v>
      </c>
      <c r="BE30" s="157">
        <f>BD30*(1+'Ass &amp; ScenarioAnalysis'!$C$20)</f>
        <v>712.31754370890872</v>
      </c>
      <c r="BF30" s="157">
        <f>BE30*(1+'Ass &amp; ScenarioAnalysis'!$C$20)</f>
        <v>717.09007125175833</v>
      </c>
      <c r="BG30" s="157">
        <f>BF30*(1+'Ass &amp; ScenarioAnalysis'!$C$20)</f>
        <v>721.89457472914501</v>
      </c>
      <c r="BH30" s="157">
        <f>BG30*(1+'Ass &amp; ScenarioAnalysis'!$C$20)</f>
        <v>726.73126837983023</v>
      </c>
      <c r="BI30" s="157">
        <f>BH30*(1+'Ass &amp; ScenarioAnalysis'!$C$20)</f>
        <v>731.60036787797503</v>
      </c>
      <c r="BJ30" s="157">
        <f>BI30*(1+'Ass &amp; ScenarioAnalysis'!$C$20)</f>
        <v>736.50209034275736</v>
      </c>
      <c r="BK30" s="157">
        <f>BJ30*(1+'Ass &amp; ScenarioAnalysis'!$C$20)</f>
        <v>741.43665434805382</v>
      </c>
      <c r="BL30" s="157">
        <f>BK30*(1+'Ass &amp; ScenarioAnalysis'!$C$20)</f>
        <v>746.40427993218577</v>
      </c>
      <c r="BM30" s="157">
        <f>BL30*(1+'Ass &amp; ScenarioAnalysis'!$C$20)</f>
        <v>751.40518860773136</v>
      </c>
      <c r="BN30" s="157">
        <f>BM30*(1+'Ass &amp; ScenarioAnalysis'!$C$20)</f>
        <v>756.43960337140311</v>
      </c>
      <c r="BO30" s="157">
        <f>BN30*(1+'Ass &amp; ScenarioAnalysis'!$C$20)</f>
        <v>761.50774871399142</v>
      </c>
      <c r="BP30" s="157">
        <f>BO30*(1+'Ass &amp; ScenarioAnalysis'!$C$20)</f>
        <v>766.60985063037515</v>
      </c>
    </row>
    <row r="31" spans="2:68" s="157" customFormat="1" ht="11.25" customHeight="1" x14ac:dyDescent="0.25">
      <c r="C31" s="157" t="s">
        <v>113</v>
      </c>
      <c r="D31" s="75">
        <v>-50</v>
      </c>
      <c r="E31" s="157">
        <f>-E29*'Ass &amp; ScenarioAnalysis'!$C$21</f>
        <v>0</v>
      </c>
      <c r="F31" s="157">
        <f>-F29*'Ass &amp; ScenarioAnalysis'!$C$21</f>
        <v>0</v>
      </c>
      <c r="G31" s="157">
        <f>-G29*'Ass &amp; ScenarioAnalysis'!$C$21</f>
        <v>0</v>
      </c>
      <c r="H31" s="157">
        <f>-H29*'Ass &amp; ScenarioAnalysis'!$C$21</f>
        <v>0</v>
      </c>
      <c r="I31" s="157">
        <f>-I29*'Ass &amp; ScenarioAnalysis'!$C$21</f>
        <v>0</v>
      </c>
      <c r="J31" s="157">
        <f>-J29*'Ass &amp; ScenarioAnalysis'!$C$21</f>
        <v>0</v>
      </c>
      <c r="K31" s="157">
        <f>-K29*'Ass &amp; ScenarioAnalysis'!$C$21</f>
        <v>0</v>
      </c>
      <c r="L31" s="157">
        <f>-L29*'Ass &amp; ScenarioAnalysis'!$C$21</f>
        <v>0</v>
      </c>
      <c r="M31" s="157">
        <f>-M29*'Ass &amp; ScenarioAnalysis'!$C$21</f>
        <v>0</v>
      </c>
      <c r="N31" s="157">
        <f>-N29*'Ass &amp; ScenarioAnalysis'!$C$21</f>
        <v>0</v>
      </c>
      <c r="O31" s="157">
        <f>-O29*'Ass &amp; ScenarioAnalysis'!$C$21</f>
        <v>0</v>
      </c>
      <c r="P31" s="157">
        <f>-P29*'Ass &amp; ScenarioAnalysis'!$C$21</f>
        <v>0</v>
      </c>
      <c r="Q31" s="157">
        <f>-Q29*'Ass &amp; ScenarioAnalysis'!$C$21</f>
        <v>0</v>
      </c>
      <c r="R31" s="157">
        <f>-R29*'Ass &amp; ScenarioAnalysis'!$C$21</f>
        <v>0</v>
      </c>
      <c r="S31" s="157">
        <f>-S29*'Ass &amp; ScenarioAnalysis'!$C$21</f>
        <v>0</v>
      </c>
      <c r="T31" s="157">
        <f>-T29*'Ass &amp; ScenarioAnalysis'!$C$21</f>
        <v>0</v>
      </c>
      <c r="U31" s="157">
        <f>-U29*'Ass &amp; ScenarioAnalysis'!$C$21</f>
        <v>0</v>
      </c>
      <c r="V31" s="157">
        <f>-V29*'Ass &amp; ScenarioAnalysis'!$C$21</f>
        <v>0</v>
      </c>
      <c r="W31" s="157">
        <f>-W29*'Ass &amp; ScenarioAnalysis'!$C$21</f>
        <v>0</v>
      </c>
      <c r="X31" s="157">
        <f>-X29*'Ass &amp; ScenarioAnalysis'!$C$21</f>
        <v>0</v>
      </c>
      <c r="Y31" s="157">
        <f>-Y29*'Ass &amp; ScenarioAnalysis'!$C$21</f>
        <v>0</v>
      </c>
      <c r="Z31" s="157">
        <f>-Z29*'Ass &amp; ScenarioAnalysis'!$C$21</f>
        <v>0</v>
      </c>
      <c r="AA31" s="157">
        <f>-AA29*'Ass &amp; ScenarioAnalysis'!$C$21</f>
        <v>0</v>
      </c>
      <c r="AB31" s="157">
        <f>-AB29*'Ass &amp; ScenarioAnalysis'!$C$21</f>
        <v>0</v>
      </c>
      <c r="AC31" s="157">
        <f>-AC29*'Ass &amp; ScenarioAnalysis'!$C$21</f>
        <v>0</v>
      </c>
      <c r="AD31" s="157">
        <f>-AD29*'Ass &amp; ScenarioAnalysis'!$C$21</f>
        <v>0</v>
      </c>
      <c r="AE31" s="157">
        <f>-AE29*'Ass &amp; ScenarioAnalysis'!$C$21</f>
        <v>0</v>
      </c>
      <c r="AF31" s="157">
        <f>-AF29*'Ass &amp; ScenarioAnalysis'!$C$21</f>
        <v>0</v>
      </c>
      <c r="AG31" s="157">
        <f>-AG29*'Ass &amp; ScenarioAnalysis'!$C$21</f>
        <v>0</v>
      </c>
      <c r="AH31" s="157">
        <f>-AH29*'Ass &amp; ScenarioAnalysis'!$C$21</f>
        <v>0</v>
      </c>
      <c r="AI31" s="157">
        <f>-AI29*'Ass &amp; ScenarioAnalysis'!$C$21</f>
        <v>0</v>
      </c>
      <c r="AJ31" s="157">
        <f>-AJ29*'Ass &amp; ScenarioAnalysis'!$C$21</f>
        <v>0</v>
      </c>
      <c r="AK31" s="157">
        <f>-AK29*'Ass &amp; ScenarioAnalysis'!$C$21</f>
        <v>0</v>
      </c>
      <c r="AL31" s="157">
        <f>-AL29*'Ass &amp; ScenarioAnalysis'!$C$21</f>
        <v>0</v>
      </c>
      <c r="AM31" s="157">
        <f>-AM29*'Ass &amp; ScenarioAnalysis'!$C$21</f>
        <v>0</v>
      </c>
      <c r="AN31" s="157">
        <f>-AN29*'Ass &amp; ScenarioAnalysis'!$C$21</f>
        <v>0</v>
      </c>
      <c r="AO31" s="157">
        <f>-AO29*'Ass &amp; ScenarioAnalysis'!$C$21</f>
        <v>0</v>
      </c>
      <c r="AP31" s="157">
        <f>-AP29*'Ass &amp; ScenarioAnalysis'!$C$21</f>
        <v>0</v>
      </c>
      <c r="AQ31" s="157">
        <f>-AQ29*'Ass &amp; ScenarioAnalysis'!$C$21</f>
        <v>0</v>
      </c>
      <c r="AR31" s="157">
        <f>-AR29*'Ass &amp; ScenarioAnalysis'!$C$21</f>
        <v>0</v>
      </c>
      <c r="AS31" s="157">
        <f>-AS29*'Ass &amp; ScenarioAnalysis'!$C$21</f>
        <v>0</v>
      </c>
      <c r="AT31" s="157">
        <f>-AT29*'Ass &amp; ScenarioAnalysis'!$C$21</f>
        <v>0</v>
      </c>
      <c r="AU31" s="157">
        <f>-AU29*'Ass &amp; ScenarioAnalysis'!$C$21</f>
        <v>0</v>
      </c>
      <c r="AV31" s="157">
        <f>-AV29*'Ass &amp; ScenarioAnalysis'!$C$21</f>
        <v>0</v>
      </c>
      <c r="AW31" s="157">
        <f>-AW29*'Ass &amp; ScenarioAnalysis'!$C$21</f>
        <v>0</v>
      </c>
      <c r="AX31" s="157">
        <f>-AX29*'Ass &amp; ScenarioAnalysis'!$C$21</f>
        <v>0</v>
      </c>
      <c r="AY31" s="157">
        <f>-AY29*'Ass &amp; ScenarioAnalysis'!$C$21</f>
        <v>0</v>
      </c>
      <c r="AZ31" s="157">
        <f>-AZ29*'Ass &amp; ScenarioAnalysis'!$C$21</f>
        <v>0</v>
      </c>
      <c r="BA31" s="157">
        <f>-BA29*'Ass &amp; ScenarioAnalysis'!$C$21</f>
        <v>0</v>
      </c>
      <c r="BB31" s="157">
        <f>-BB29*'Ass &amp; ScenarioAnalysis'!$C$21</f>
        <v>0</v>
      </c>
      <c r="BC31" s="157">
        <f>-BC29*'Ass &amp; ScenarioAnalysis'!$C$21</f>
        <v>0</v>
      </c>
      <c r="BD31" s="157">
        <f>-BD29*'Ass &amp; ScenarioAnalysis'!$C$21</f>
        <v>0</v>
      </c>
      <c r="BE31" s="157">
        <f>-BE29*'Ass &amp; ScenarioAnalysis'!$C$21</f>
        <v>0</v>
      </c>
      <c r="BF31" s="157">
        <f>-BF29*'Ass &amp; ScenarioAnalysis'!$C$21</f>
        <v>0</v>
      </c>
      <c r="BG31" s="157">
        <f>-BG29*'Ass &amp; ScenarioAnalysis'!$C$21</f>
        <v>0</v>
      </c>
      <c r="BH31" s="157">
        <f>-BH29*'Ass &amp; ScenarioAnalysis'!$C$21</f>
        <v>0</v>
      </c>
      <c r="BI31" s="157">
        <f>-BI29*'Ass &amp; ScenarioAnalysis'!$C$21</f>
        <v>0</v>
      </c>
      <c r="BJ31" s="157">
        <f>-BJ29*'Ass &amp; ScenarioAnalysis'!$C$21</f>
        <v>0</v>
      </c>
      <c r="BK31" s="157">
        <f>-BK29*'Ass &amp; ScenarioAnalysis'!$C$21</f>
        <v>0</v>
      </c>
      <c r="BL31" s="157">
        <f>-BL29*'Ass &amp; ScenarioAnalysis'!$C$21</f>
        <v>0</v>
      </c>
      <c r="BM31" s="157">
        <f>-BM29*'Ass &amp; ScenarioAnalysis'!$C$21</f>
        <v>0</v>
      </c>
      <c r="BN31" s="157">
        <f>-BN29*'Ass &amp; ScenarioAnalysis'!$C$21</f>
        <v>0</v>
      </c>
      <c r="BO31" s="157">
        <f>-BO29*'Ass &amp; ScenarioAnalysis'!$C$21</f>
        <v>0</v>
      </c>
      <c r="BP31" s="157">
        <f>-BP29*'Ass &amp; ScenarioAnalysis'!$C$21</f>
        <v>0</v>
      </c>
    </row>
    <row r="32" spans="2:68" s="157" customFormat="1" ht="11.25" customHeight="1" x14ac:dyDescent="0.2">
      <c r="C32" s="157" t="s">
        <v>115</v>
      </c>
      <c r="D32" s="158">
        <f>SUM(D29:D31)</f>
        <v>1450</v>
      </c>
      <c r="E32" s="158">
        <f>SUM(E29:E31)</f>
        <v>1953.35</v>
      </c>
      <c r="F32" s="158">
        <f t="shared" ref="F32:BP32" si="65">SUM(F29:F31)</f>
        <v>2460.0724449999998</v>
      </c>
      <c r="G32" s="158">
        <f t="shared" si="65"/>
        <v>2970.1899303814998</v>
      </c>
      <c r="H32" s="158">
        <f t="shared" si="65"/>
        <v>3483.7252029150559</v>
      </c>
      <c r="I32" s="158">
        <f t="shared" si="65"/>
        <v>4000.7011617745866</v>
      </c>
      <c r="J32" s="158">
        <f t="shared" si="65"/>
        <v>4521.1408595584762</v>
      </c>
      <c r="K32" s="158">
        <f t="shared" si="65"/>
        <v>5045.0675033175175</v>
      </c>
      <c r="L32" s="158">
        <f t="shared" si="65"/>
        <v>5572.5044555897448</v>
      </c>
      <c r="M32" s="158">
        <f t="shared" si="65"/>
        <v>6103.4752354421962</v>
      </c>
      <c r="N32" s="158">
        <f t="shared" si="65"/>
        <v>6638.0035195196588</v>
      </c>
      <c r="O32" s="158">
        <f t="shared" si="65"/>
        <v>7176.1131431004396</v>
      </c>
      <c r="P32" s="158">
        <f t="shared" si="65"/>
        <v>7717.8281011592117</v>
      </c>
      <c r="Q32" s="158">
        <f t="shared" si="65"/>
        <v>8263.1725494369784</v>
      </c>
      <c r="R32" s="158">
        <f t="shared" si="65"/>
        <v>8812.1708055182062</v>
      </c>
      <c r="S32" s="158">
        <f t="shared" si="65"/>
        <v>9364.8473499151769</v>
      </c>
      <c r="T32" s="158">
        <f t="shared" si="65"/>
        <v>9921.2268271596076</v>
      </c>
      <c r="U32" s="158">
        <f t="shared" si="65"/>
        <v>10481.334046901577</v>
      </c>
      <c r="V32" s="158">
        <f t="shared" si="65"/>
        <v>11045.193985015816</v>
      </c>
      <c r="W32" s="158">
        <f t="shared" si="65"/>
        <v>11612.831784715421</v>
      </c>
      <c r="X32" s="158">
        <f t="shared" si="65"/>
        <v>12184.272757673014</v>
      </c>
      <c r="Y32" s="158">
        <f t="shared" si="65"/>
        <v>12759.542385149422</v>
      </c>
      <c r="Z32" s="158">
        <f t="shared" si="65"/>
        <v>13338.666319129921</v>
      </c>
      <c r="AA32" s="158">
        <f t="shared" si="65"/>
        <v>13921.67038346809</v>
      </c>
      <c r="AB32" s="158">
        <f t="shared" si="65"/>
        <v>14508.580575037326</v>
      </c>
      <c r="AC32" s="158">
        <f t="shared" si="65"/>
        <v>15099.423064890074</v>
      </c>
      <c r="AD32" s="158">
        <f t="shared" si="65"/>
        <v>15694.224199424836</v>
      </c>
      <c r="AE32" s="158">
        <f t="shared" si="65"/>
        <v>16293.010501560981</v>
      </c>
      <c r="AF32" s="158">
        <f t="shared" si="65"/>
        <v>16895.808671921437</v>
      </c>
      <c r="AG32" s="158">
        <f t="shared" si="65"/>
        <v>17502.645590023309</v>
      </c>
      <c r="AH32" s="158">
        <f t="shared" si="65"/>
        <v>18113.548315476462</v>
      </c>
      <c r="AI32" s="158">
        <f t="shared" si="65"/>
        <v>18728.544089190153</v>
      </c>
      <c r="AJ32" s="158">
        <f t="shared" si="65"/>
        <v>19347.660334587727</v>
      </c>
      <c r="AK32" s="158">
        <f t="shared" si="65"/>
        <v>19970.924658829463</v>
      </c>
      <c r="AL32" s="158">
        <f t="shared" si="65"/>
        <v>20598.364854043619</v>
      </c>
      <c r="AM32" s="158">
        <f t="shared" si="65"/>
        <v>21230.008898565709</v>
      </c>
      <c r="AN32" s="158">
        <f t="shared" si="65"/>
        <v>21865.8849581861</v>
      </c>
      <c r="AO32" s="158">
        <f t="shared" si="65"/>
        <v>22506.021387405945</v>
      </c>
      <c r="AP32" s="158">
        <f t="shared" si="65"/>
        <v>23150.446730701562</v>
      </c>
      <c r="AQ32" s="158">
        <f t="shared" si="65"/>
        <v>23799.189723797263</v>
      </c>
      <c r="AR32" s="158">
        <f t="shared" si="65"/>
        <v>24452.279294946704</v>
      </c>
      <c r="AS32" s="158">
        <f t="shared" si="65"/>
        <v>25109.744566222846</v>
      </c>
      <c r="AT32" s="158">
        <f t="shared" si="65"/>
        <v>25771.614854816537</v>
      </c>
      <c r="AU32" s="158">
        <f t="shared" si="65"/>
        <v>26437.919674343804</v>
      </c>
      <c r="AV32" s="158">
        <f t="shared" si="65"/>
        <v>27108.688736161905</v>
      </c>
      <c r="AW32" s="158">
        <f t="shared" si="65"/>
        <v>27783.951950694187</v>
      </c>
      <c r="AX32" s="158">
        <f t="shared" si="65"/>
        <v>28463.739428763838</v>
      </c>
      <c r="AY32" s="158">
        <f t="shared" si="65"/>
        <v>29148.081482936555</v>
      </c>
      <c r="AZ32" s="158">
        <f t="shared" si="65"/>
        <v>29837.008628872227</v>
      </c>
      <c r="BA32" s="158">
        <f t="shared" si="65"/>
        <v>30530.551586685669</v>
      </c>
      <c r="BB32" s="158">
        <f t="shared" si="65"/>
        <v>31228.741282316463</v>
      </c>
      <c r="BC32" s="158">
        <f t="shared" si="65"/>
        <v>31931.608848907981</v>
      </c>
      <c r="BD32" s="158">
        <f t="shared" si="65"/>
        <v>32639.185628195664</v>
      </c>
      <c r="BE32" s="158">
        <f t="shared" si="65"/>
        <v>33351.503171904573</v>
      </c>
      <c r="BF32" s="158">
        <f t="shared" si="65"/>
        <v>34068.593243156334</v>
      </c>
      <c r="BG32" s="158">
        <f t="shared" si="65"/>
        <v>34790.487817885478</v>
      </c>
      <c r="BH32" s="158">
        <f t="shared" si="65"/>
        <v>35517.219086265308</v>
      </c>
      <c r="BI32" s="158">
        <f t="shared" si="65"/>
        <v>36248.819454143282</v>
      </c>
      <c r="BJ32" s="158">
        <f t="shared" si="65"/>
        <v>36985.32154448604</v>
      </c>
      <c r="BK32" s="158">
        <f t="shared" si="65"/>
        <v>37726.758198834097</v>
      </c>
      <c r="BL32" s="158">
        <f t="shared" si="65"/>
        <v>38473.16247876628</v>
      </c>
      <c r="BM32" s="158">
        <f t="shared" si="65"/>
        <v>39224.567667374009</v>
      </c>
      <c r="BN32" s="158">
        <f t="shared" si="65"/>
        <v>39981.007270745409</v>
      </c>
      <c r="BO32" s="158">
        <f t="shared" si="65"/>
        <v>40742.515019459403</v>
      </c>
      <c r="BP32" s="158">
        <f t="shared" si="65"/>
        <v>41509.124870089778</v>
      </c>
    </row>
    <row r="33" spans="2:68" s="157" customFormat="1" ht="11.25" customHeight="1" x14ac:dyDescent="0.2">
      <c r="C33" s="157" t="s">
        <v>100</v>
      </c>
    </row>
    <row r="34" spans="2:68" s="157" customFormat="1" ht="11.25" customHeight="1" x14ac:dyDescent="0.2">
      <c r="C34" s="157" t="s">
        <v>2</v>
      </c>
      <c r="D34" s="157">
        <f>ROUND(D32*'Ass &amp; ScenarioAnalysis'!$C$19, -3)</f>
        <v>58000</v>
      </c>
      <c r="E34" s="157">
        <f>ROUND(E32*'Ass &amp; ScenarioAnalysis'!$C$19, -3)</f>
        <v>78000</v>
      </c>
      <c r="F34" s="157">
        <f>ROUND(F32*'Ass &amp; ScenarioAnalysis'!$C$19, -3)</f>
        <v>98000</v>
      </c>
      <c r="G34" s="157">
        <f>ROUND(G32*'Ass &amp; ScenarioAnalysis'!$C$19, -3)</f>
        <v>119000</v>
      </c>
      <c r="H34" s="157">
        <f>ROUND(H32*'Ass &amp; ScenarioAnalysis'!$C$19, -3)</f>
        <v>139000</v>
      </c>
      <c r="I34" s="157">
        <f>ROUND(I32*'Ass &amp; ScenarioAnalysis'!$C$19, -3)</f>
        <v>160000</v>
      </c>
      <c r="J34" s="157">
        <f>ROUND(J32*'Ass &amp; ScenarioAnalysis'!$C$19, -3)</f>
        <v>181000</v>
      </c>
      <c r="K34" s="157">
        <f>ROUND(K32*'Ass &amp; ScenarioAnalysis'!$C$19, -3)</f>
        <v>202000</v>
      </c>
      <c r="L34" s="157">
        <f>ROUND(L32*'Ass &amp; ScenarioAnalysis'!$C$19, -3)</f>
        <v>223000</v>
      </c>
      <c r="M34" s="157">
        <f>ROUND(M32*'Ass &amp; ScenarioAnalysis'!$C$19, -3)</f>
        <v>244000</v>
      </c>
      <c r="N34" s="157">
        <f>ROUND(N32*'Ass &amp; ScenarioAnalysis'!$C$19, -3)</f>
        <v>266000</v>
      </c>
      <c r="O34" s="157">
        <f>ROUND(O32*'Ass &amp; ScenarioAnalysis'!$C$19, -3)</f>
        <v>287000</v>
      </c>
      <c r="P34" s="157">
        <f>ROUND(P32*'Ass &amp; ScenarioAnalysis'!$C$19, -3)</f>
        <v>309000</v>
      </c>
      <c r="Q34" s="157">
        <f>ROUND(Q32*'Ass &amp; ScenarioAnalysis'!$C$19, -3)</f>
        <v>331000</v>
      </c>
      <c r="R34" s="157">
        <f>ROUND(R32*'Ass &amp; ScenarioAnalysis'!$C$19, -3)</f>
        <v>352000</v>
      </c>
      <c r="S34" s="157">
        <f>ROUND(S32*'Ass &amp; ScenarioAnalysis'!$C$19, -3)</f>
        <v>375000</v>
      </c>
      <c r="T34" s="157">
        <f>ROUND(T32*'Ass &amp; ScenarioAnalysis'!$C$19, -3)</f>
        <v>397000</v>
      </c>
      <c r="U34" s="157">
        <f>ROUND(U32*'Ass &amp; ScenarioAnalysis'!$C$19, -3)</f>
        <v>419000</v>
      </c>
      <c r="V34" s="157">
        <f>ROUND(V32*'Ass &amp; ScenarioAnalysis'!$C$19, -3)</f>
        <v>442000</v>
      </c>
      <c r="W34" s="157">
        <f>ROUND(W32*'Ass &amp; ScenarioAnalysis'!$C$19, -3)</f>
        <v>465000</v>
      </c>
      <c r="X34" s="157">
        <f>ROUND(X32*'Ass &amp; ScenarioAnalysis'!$C$19, -3)</f>
        <v>487000</v>
      </c>
      <c r="Y34" s="157">
        <f>ROUND(Y32*'Ass &amp; ScenarioAnalysis'!$C$19, -3)</f>
        <v>510000</v>
      </c>
      <c r="Z34" s="157">
        <f>ROUND(Z32*'Ass &amp; ScenarioAnalysis'!$C$19, -3)</f>
        <v>534000</v>
      </c>
      <c r="AA34" s="157">
        <f>ROUND(AA32*'Ass &amp; ScenarioAnalysis'!$C$19, -3)</f>
        <v>557000</v>
      </c>
      <c r="AB34" s="157">
        <f>ROUND(AB32*'Ass &amp; ScenarioAnalysis'!$C$19, -3)</f>
        <v>580000</v>
      </c>
      <c r="AC34" s="157">
        <f>ROUND(AC32*'Ass &amp; ScenarioAnalysis'!$C$19, -3)</f>
        <v>604000</v>
      </c>
      <c r="AD34" s="157">
        <f>ROUND(AD32*'Ass &amp; ScenarioAnalysis'!$C$19, -3)</f>
        <v>628000</v>
      </c>
      <c r="AE34" s="157">
        <f>ROUND(AE32*'Ass &amp; ScenarioAnalysis'!$C$19, -3)</f>
        <v>652000</v>
      </c>
      <c r="AF34" s="157">
        <f>ROUND(AF32*'Ass &amp; ScenarioAnalysis'!$C$19, -3)</f>
        <v>676000</v>
      </c>
      <c r="AG34" s="157">
        <f>ROUND(AG32*'Ass &amp; ScenarioAnalysis'!$C$19, -3)</f>
        <v>700000</v>
      </c>
      <c r="AH34" s="157">
        <f>ROUND(AH32*'Ass &amp; ScenarioAnalysis'!$C$19, -3)</f>
        <v>725000</v>
      </c>
      <c r="AI34" s="157">
        <f>ROUND(AI32*'Ass &amp; ScenarioAnalysis'!$C$19, -3)</f>
        <v>749000</v>
      </c>
      <c r="AJ34" s="157">
        <f>ROUND(AJ32*'Ass &amp; ScenarioAnalysis'!$C$19, -3)</f>
        <v>774000</v>
      </c>
      <c r="AK34" s="157">
        <f>ROUND(AK32*'Ass &amp; ScenarioAnalysis'!$C$19, -3)</f>
        <v>799000</v>
      </c>
      <c r="AL34" s="157">
        <f>ROUND(AL32*'Ass &amp; ScenarioAnalysis'!$C$19, -3)</f>
        <v>824000</v>
      </c>
      <c r="AM34" s="157">
        <f>ROUND(AM32*'Ass &amp; ScenarioAnalysis'!$C$19, -3)</f>
        <v>849000</v>
      </c>
      <c r="AN34" s="157">
        <f>ROUND(AN32*'Ass &amp; ScenarioAnalysis'!$C$19, -3)</f>
        <v>875000</v>
      </c>
      <c r="AO34" s="157">
        <f>ROUND(AO32*'Ass &amp; ScenarioAnalysis'!$C$19, -3)</f>
        <v>900000</v>
      </c>
      <c r="AP34" s="157">
        <f>ROUND(AP32*'Ass &amp; ScenarioAnalysis'!$C$19, -3)</f>
        <v>926000</v>
      </c>
      <c r="AQ34" s="157">
        <f>ROUND(AQ32*'Ass &amp; ScenarioAnalysis'!$C$19, -3)</f>
        <v>952000</v>
      </c>
      <c r="AR34" s="157">
        <f>ROUND(AR32*'Ass &amp; ScenarioAnalysis'!$C$19, -3)</f>
        <v>978000</v>
      </c>
      <c r="AS34" s="157">
        <f>ROUND(AS32*'Ass &amp; ScenarioAnalysis'!$C$19, -3)</f>
        <v>1004000</v>
      </c>
      <c r="AT34" s="157">
        <f>ROUND(AT32*'Ass &amp; ScenarioAnalysis'!$C$19, -3)</f>
        <v>1031000</v>
      </c>
      <c r="AU34" s="157">
        <f>ROUND(AU32*'Ass &amp; ScenarioAnalysis'!$C$19, -3)</f>
        <v>1058000</v>
      </c>
      <c r="AV34" s="157">
        <f>ROUND(AV32*'Ass &amp; ScenarioAnalysis'!$C$19, -3)</f>
        <v>1084000</v>
      </c>
      <c r="AW34" s="157">
        <f>ROUND(AW32*'Ass &amp; ScenarioAnalysis'!$C$19, -3)</f>
        <v>1111000</v>
      </c>
      <c r="AX34" s="157">
        <f>ROUND(AX32*'Ass &amp; ScenarioAnalysis'!$C$19, -3)</f>
        <v>1139000</v>
      </c>
      <c r="AY34" s="157">
        <f>ROUND(AY32*'Ass &amp; ScenarioAnalysis'!$C$19, -3)</f>
        <v>1166000</v>
      </c>
      <c r="AZ34" s="157">
        <f>ROUND(AZ32*'Ass &amp; ScenarioAnalysis'!$C$19, -3)</f>
        <v>1193000</v>
      </c>
      <c r="BA34" s="157">
        <f>ROUND(BA32*'Ass &amp; ScenarioAnalysis'!$C$19, -3)</f>
        <v>1221000</v>
      </c>
      <c r="BB34" s="157">
        <f>ROUND(BB32*'Ass &amp; ScenarioAnalysis'!$C$19, -3)</f>
        <v>1249000</v>
      </c>
      <c r="BC34" s="157">
        <f>ROUND(BC32*'Ass &amp; ScenarioAnalysis'!$C$19, -3)</f>
        <v>1277000</v>
      </c>
      <c r="BD34" s="157">
        <f>ROUND(BD32*'Ass &amp; ScenarioAnalysis'!$C$19, -3)</f>
        <v>1306000</v>
      </c>
      <c r="BE34" s="157">
        <f>ROUND(BE32*'Ass &amp; ScenarioAnalysis'!$C$19, -3)</f>
        <v>1334000</v>
      </c>
      <c r="BF34" s="157">
        <f>ROUND(BF32*'Ass &amp; ScenarioAnalysis'!$C$19, -3)</f>
        <v>1363000</v>
      </c>
      <c r="BG34" s="157">
        <f>ROUND(BG32*'Ass &amp; ScenarioAnalysis'!$C$19, -3)</f>
        <v>1392000</v>
      </c>
      <c r="BH34" s="157">
        <f>ROUND(BH32*'Ass &amp; ScenarioAnalysis'!$C$19, -3)</f>
        <v>1421000</v>
      </c>
      <c r="BI34" s="157">
        <f>ROUND(BI32*'Ass &amp; ScenarioAnalysis'!$C$19, -3)</f>
        <v>1450000</v>
      </c>
      <c r="BJ34" s="157">
        <f>ROUND(BJ32*'Ass &amp; ScenarioAnalysis'!$C$19, -3)</f>
        <v>1479000</v>
      </c>
      <c r="BK34" s="157">
        <f>ROUND(BK32*'Ass &amp; ScenarioAnalysis'!$C$19, -3)</f>
        <v>1509000</v>
      </c>
      <c r="BL34" s="157">
        <f>ROUND(BL32*'Ass &amp; ScenarioAnalysis'!$C$19, -3)</f>
        <v>1539000</v>
      </c>
      <c r="BM34" s="157">
        <f>ROUND(BM32*'Ass &amp; ScenarioAnalysis'!$C$19, -3)</f>
        <v>1569000</v>
      </c>
      <c r="BN34" s="157">
        <f>ROUND(BN32*'Ass &amp; ScenarioAnalysis'!$C$19, -3)</f>
        <v>1599000</v>
      </c>
      <c r="BO34" s="157">
        <f>ROUND(BO32*'Ass &amp; ScenarioAnalysis'!$C$19, -3)</f>
        <v>1630000</v>
      </c>
      <c r="BP34" s="157">
        <f>ROUND(BP32*'Ass &amp; ScenarioAnalysis'!$C$19, -3)</f>
        <v>1660000</v>
      </c>
    </row>
    <row r="37" spans="2:68" ht="11.25" customHeight="1" x14ac:dyDescent="0.2">
      <c r="B37" s="138" t="str">
        <f>'Ass &amp; ScenarioAnalysis'!A23</f>
        <v>Bill Payment and Fund TRANSFER</v>
      </c>
    </row>
    <row r="38" spans="2:68" ht="11.25" customHeight="1" x14ac:dyDescent="0.2">
      <c r="C38" s="21" t="s">
        <v>116</v>
      </c>
    </row>
    <row r="39" spans="2:68" ht="11.25" customHeight="1" x14ac:dyDescent="0.2">
      <c r="C39" s="21" t="s">
        <v>117</v>
      </c>
    </row>
    <row r="40" spans="2:68" ht="11.25" customHeight="1" x14ac:dyDescent="0.2">
      <c r="C40" s="21" t="s">
        <v>113</v>
      </c>
    </row>
    <row r="41" spans="2:68" ht="11.25" customHeight="1" x14ac:dyDescent="0.2">
      <c r="C41" s="21" t="s">
        <v>118</v>
      </c>
    </row>
    <row r="42" spans="2:68" ht="11.25" customHeight="1" x14ac:dyDescent="0.2">
      <c r="C42" s="21" t="s">
        <v>119</v>
      </c>
    </row>
    <row r="43" spans="2:68" ht="11.25" customHeight="1" x14ac:dyDescent="0.2">
      <c r="C43" s="21" t="s">
        <v>2</v>
      </c>
    </row>
    <row r="46" spans="2:68" ht="11.25" customHeight="1" x14ac:dyDescent="0.2">
      <c r="B46" s="138" t="s">
        <v>120</v>
      </c>
    </row>
    <row r="47" spans="2:68" ht="11.25" customHeight="1" x14ac:dyDescent="0.2">
      <c r="B47" s="138"/>
    </row>
    <row r="48" spans="2:68" ht="11.25" customHeight="1" x14ac:dyDescent="0.2">
      <c r="B48" s="138"/>
    </row>
    <row r="49" spans="2:8" ht="11.25" customHeight="1" x14ac:dyDescent="0.2">
      <c r="B49" s="138"/>
    </row>
    <row r="50" spans="2:8" ht="11.25" customHeight="1" x14ac:dyDescent="0.2">
      <c r="B50" s="138"/>
      <c r="C50" s="21" t="s">
        <v>127</v>
      </c>
    </row>
    <row r="53" spans="2:8" ht="11.25" customHeight="1" x14ac:dyDescent="0.2">
      <c r="B53" s="138" t="s">
        <v>121</v>
      </c>
    </row>
    <row r="54" spans="2:8" ht="11.25" customHeight="1" x14ac:dyDescent="0.2">
      <c r="D54" s="160" t="s">
        <v>122</v>
      </c>
      <c r="E54" s="160" t="s">
        <v>123</v>
      </c>
      <c r="F54" s="160" t="s">
        <v>124</v>
      </c>
      <c r="G54" s="160" t="s">
        <v>125</v>
      </c>
      <c r="H54" s="160" t="s">
        <v>126</v>
      </c>
    </row>
    <row r="55" spans="2:8" ht="11.25" customHeight="1" x14ac:dyDescent="0.2">
      <c r="C55" s="21" t="str">
        <f>B6</f>
        <v>Revenue from Card Sales</v>
      </c>
      <c r="D55" s="161">
        <f>ROUND(SUM(H11:S11), -3)</f>
        <v>66915000</v>
      </c>
      <c r="E55" s="161">
        <f>ROUND(SUM(T11:AE11),-3)</f>
        <v>68950000</v>
      </c>
      <c r="F55" s="161">
        <f>ROUND(SUM(AF11:AQ11), -3)</f>
        <v>71048000</v>
      </c>
      <c r="G55" s="161">
        <f>ROUND(SUM(AR11:BC11), -3)</f>
        <v>73209000</v>
      </c>
      <c r="H55" s="161">
        <f>ROUND(SUM(BD11:BO11), -3)</f>
        <v>75435000</v>
      </c>
    </row>
    <row r="56" spans="2:8" ht="11.25" customHeight="1" x14ac:dyDescent="0.2">
      <c r="C56" s="21" t="str">
        <f>B17</f>
        <v>Monthly Service Fee</v>
      </c>
      <c r="D56" s="161">
        <f>ROUND(SUM(H25:S25), -3)</f>
        <v>32616000</v>
      </c>
      <c r="E56" s="161">
        <f>ROUND(SUM(T23:AE25),-3)</f>
        <v>77181000</v>
      </c>
      <c r="F56" s="161">
        <f>ROUND(SUM(AF25:AQ25), -3)</f>
        <v>123004000</v>
      </c>
      <c r="G56" s="161">
        <f>ROUND(SUM(AR25:BC25), -3)</f>
        <v>170271000</v>
      </c>
      <c r="H56" s="161">
        <f>ROUND(SUM(BD25:BO25), -3)</f>
        <v>218975000</v>
      </c>
    </row>
    <row r="57" spans="2:8" ht="11.25" customHeight="1" x14ac:dyDescent="0.2">
      <c r="C57" s="21" t="str">
        <f>B28</f>
        <v>Card Load Fee via AutoPay</v>
      </c>
      <c r="D57" s="161">
        <f>ROUND(SUM(H34:S34), -3)</f>
        <v>3069000</v>
      </c>
      <c r="E57" s="161">
        <f>ROUND(SUM(T34:AE34),-3)</f>
        <v>6275000</v>
      </c>
      <c r="F57" s="161">
        <f>ROUND(SUM(AF34:AQ34), -3)</f>
        <v>9749000</v>
      </c>
      <c r="G57" s="161">
        <f>ROUND(SUM(AR34:BC34), -3)</f>
        <v>13511000</v>
      </c>
      <c r="H57" s="161">
        <f>ROUND(SUM(BD34:BO34), -3)</f>
        <v>17591000</v>
      </c>
    </row>
    <row r="58" spans="2:8" ht="11.25" customHeight="1" x14ac:dyDescent="0.2">
      <c r="C58" s="21" t="str">
        <f>B37</f>
        <v>Bill Payment and Fund TRANSFER</v>
      </c>
      <c r="D58" s="161">
        <f>ROUND(SUM(H43:S43), -3)</f>
        <v>0</v>
      </c>
      <c r="E58" s="161">
        <f>ROUND(SUM(T43:AE43),-3)</f>
        <v>0</v>
      </c>
      <c r="F58" s="161">
        <f>ROUND(SUM(AF43:AQ43), -3)</f>
        <v>0</v>
      </c>
      <c r="G58" s="161">
        <f>ROUND(SUM(AR43:BC43), -3)</f>
        <v>0</v>
      </c>
      <c r="H58" s="161">
        <f>ROUND(SUM(BD43:BO43), -3)</f>
        <v>0</v>
      </c>
    </row>
    <row r="59" spans="2:8" ht="11.25" customHeight="1" x14ac:dyDescent="0.2">
      <c r="C59" s="21" t="str">
        <f>B46</f>
        <v>Interest Income on Loans</v>
      </c>
      <c r="D59" s="161">
        <f>ROUND(SUM(H50:S50), -3)</f>
        <v>0</v>
      </c>
      <c r="E59" s="161">
        <f>ROUND(SUM(T50:AE50),-3)</f>
        <v>0</v>
      </c>
      <c r="F59" s="161">
        <f>ROUND(SUM(AF50:AQ50), -3)</f>
        <v>0</v>
      </c>
      <c r="G59" s="161">
        <f>ROUND(SUM(AR50:BC50), -3)</f>
        <v>0</v>
      </c>
      <c r="H59" s="161">
        <f>ROUND(SUM(BD50:BO50), -3)</f>
        <v>0</v>
      </c>
    </row>
    <row r="60" spans="2:8" ht="19.5" customHeight="1" thickBot="1" x14ac:dyDescent="0.25">
      <c r="C60" s="138" t="s">
        <v>128</v>
      </c>
      <c r="D60" s="162">
        <f>SUM(D55:D59)</f>
        <v>102600000</v>
      </c>
      <c r="E60" s="162">
        <f>SUM(E55:E59)</f>
        <v>152406000</v>
      </c>
      <c r="F60" s="162">
        <f t="shared" ref="F60:H60" si="66">SUM(F55:F59)</f>
        <v>203801000</v>
      </c>
      <c r="G60" s="162">
        <f t="shared" si="66"/>
        <v>256991000</v>
      </c>
      <c r="H60" s="162">
        <f t="shared" si="66"/>
        <v>312001000</v>
      </c>
    </row>
    <row r="61" spans="2:8" ht="11.25" customHeight="1" thickTop="1" x14ac:dyDescent="0.2"/>
    <row r="67" spans="2:2" ht="11.25" customHeight="1" x14ac:dyDescent="0.2">
      <c r="B67" s="2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P52"/>
  <sheetViews>
    <sheetView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K55" sqref="K55"/>
    </sheetView>
  </sheetViews>
  <sheetFormatPr defaultColWidth="9.5703125" defaultRowHeight="11.25" customHeight="1" x14ac:dyDescent="0.2"/>
  <cols>
    <col min="1" max="1" width="2.140625" style="5" customWidth="1"/>
    <col min="2" max="2" width="3" style="5" customWidth="1"/>
    <col min="3" max="3" width="26.5703125" style="5" customWidth="1"/>
    <col min="4" max="4" width="12.5703125" style="5" bestFit="1" customWidth="1"/>
    <col min="5" max="8" width="12" style="5" bestFit="1" customWidth="1"/>
    <col min="9" max="13" width="9.5703125" style="5"/>
    <col min="14" max="14" width="11.5703125" style="5" customWidth="1"/>
    <col min="15" max="15" width="11" style="5" customWidth="1"/>
    <col min="16" max="16" width="11.42578125" style="5" customWidth="1"/>
    <col min="17" max="16384" width="9.5703125" style="5"/>
  </cols>
  <sheetData>
    <row r="3" spans="2:68" ht="11.25" customHeight="1" x14ac:dyDescent="0.2">
      <c r="B3" s="32" t="s">
        <v>153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68" ht="11.25" customHeight="1" x14ac:dyDescent="0.2">
      <c r="B4" s="6"/>
      <c r="C4" s="6"/>
      <c r="D4" s="7" t="s">
        <v>30</v>
      </c>
      <c r="E4" s="7" t="s">
        <v>28</v>
      </c>
      <c r="F4" s="7"/>
      <c r="G4" s="7"/>
      <c r="H4" s="7" t="s">
        <v>29</v>
      </c>
      <c r="I4" s="7" t="s">
        <v>29</v>
      </c>
      <c r="J4" s="7" t="s">
        <v>29</v>
      </c>
      <c r="K4" s="7" t="s">
        <v>29</v>
      </c>
      <c r="L4" s="7" t="s">
        <v>29</v>
      </c>
      <c r="M4" s="8" t="s">
        <v>29</v>
      </c>
      <c r="N4" s="8" t="s">
        <v>29</v>
      </c>
      <c r="O4" s="8" t="s">
        <v>29</v>
      </c>
      <c r="P4" s="8" t="s">
        <v>29</v>
      </c>
      <c r="Q4" s="8" t="s">
        <v>29</v>
      </c>
      <c r="R4" s="8" t="s">
        <v>29</v>
      </c>
      <c r="S4" s="8" t="s">
        <v>29</v>
      </c>
      <c r="T4" s="8" t="s">
        <v>29</v>
      </c>
      <c r="U4" s="8" t="s">
        <v>29</v>
      </c>
      <c r="V4" s="8" t="s">
        <v>29</v>
      </c>
      <c r="W4" s="8" t="s">
        <v>29</v>
      </c>
      <c r="X4" s="8" t="s">
        <v>29</v>
      </c>
      <c r="Y4" s="8" t="s">
        <v>29</v>
      </c>
      <c r="Z4" s="8" t="s">
        <v>29</v>
      </c>
      <c r="AA4" s="8" t="s">
        <v>29</v>
      </c>
      <c r="AB4" s="8" t="s">
        <v>29</v>
      </c>
      <c r="AC4" s="8" t="s">
        <v>29</v>
      </c>
      <c r="AD4" s="8" t="s">
        <v>29</v>
      </c>
      <c r="AE4" s="8" t="s">
        <v>29</v>
      </c>
      <c r="AF4" s="8" t="s">
        <v>29</v>
      </c>
      <c r="AG4" s="8" t="s">
        <v>29</v>
      </c>
      <c r="AH4" s="8" t="s">
        <v>29</v>
      </c>
      <c r="AI4" s="8" t="s">
        <v>29</v>
      </c>
      <c r="AJ4" s="8" t="s">
        <v>29</v>
      </c>
      <c r="AK4" s="8" t="s">
        <v>29</v>
      </c>
      <c r="AL4" s="8" t="s">
        <v>29</v>
      </c>
      <c r="AM4" s="8" t="s">
        <v>29</v>
      </c>
      <c r="AN4" s="8" t="s">
        <v>29</v>
      </c>
      <c r="AO4" s="8" t="s">
        <v>29</v>
      </c>
      <c r="AP4" s="8" t="s">
        <v>29</v>
      </c>
      <c r="AQ4" s="8" t="s">
        <v>29</v>
      </c>
      <c r="AR4" s="8" t="s">
        <v>29</v>
      </c>
      <c r="AS4" s="8" t="s">
        <v>29</v>
      </c>
      <c r="AT4" s="8" t="s">
        <v>29</v>
      </c>
      <c r="AU4" s="8" t="s">
        <v>29</v>
      </c>
      <c r="AV4" s="8" t="s">
        <v>29</v>
      </c>
      <c r="AW4" s="8" t="s">
        <v>29</v>
      </c>
      <c r="AX4" s="8" t="s">
        <v>29</v>
      </c>
      <c r="AY4" s="8" t="s">
        <v>29</v>
      </c>
      <c r="AZ4" s="8" t="s">
        <v>29</v>
      </c>
      <c r="BA4" s="8" t="s">
        <v>29</v>
      </c>
      <c r="BB4" s="8" t="s">
        <v>29</v>
      </c>
      <c r="BC4" s="8" t="s">
        <v>29</v>
      </c>
      <c r="BD4" s="8" t="s">
        <v>29</v>
      </c>
      <c r="BE4" s="8" t="s">
        <v>29</v>
      </c>
      <c r="BF4" s="8" t="s">
        <v>29</v>
      </c>
      <c r="BG4" s="8" t="s">
        <v>29</v>
      </c>
      <c r="BH4" s="8" t="s">
        <v>29</v>
      </c>
      <c r="BI4" s="8" t="s">
        <v>29</v>
      </c>
      <c r="BJ4" s="8" t="s">
        <v>29</v>
      </c>
      <c r="BK4" s="8" t="s">
        <v>29</v>
      </c>
      <c r="BL4" s="8" t="s">
        <v>29</v>
      </c>
      <c r="BM4" s="8" t="s">
        <v>29</v>
      </c>
      <c r="BN4" s="8" t="s">
        <v>29</v>
      </c>
      <c r="BO4" s="8" t="s">
        <v>29</v>
      </c>
    </row>
    <row r="5" spans="2:68" ht="11.25" customHeight="1" x14ac:dyDescent="0.2">
      <c r="B5" s="6"/>
      <c r="C5" s="6"/>
      <c r="D5" s="9"/>
      <c r="E5" s="10">
        <v>43739</v>
      </c>
      <c r="F5" s="10">
        <v>43770</v>
      </c>
      <c r="G5" s="10">
        <v>43800</v>
      </c>
      <c r="H5" s="9" t="s">
        <v>37</v>
      </c>
      <c r="I5" s="9" t="s">
        <v>38</v>
      </c>
      <c r="J5" s="9" t="s">
        <v>39</v>
      </c>
      <c r="K5" s="9" t="s">
        <v>40</v>
      </c>
      <c r="L5" s="9" t="s">
        <v>41</v>
      </c>
      <c r="M5" s="9" t="s">
        <v>42</v>
      </c>
      <c r="N5" s="9" t="s">
        <v>43</v>
      </c>
      <c r="O5" s="9" t="s">
        <v>44</v>
      </c>
      <c r="P5" s="9" t="s">
        <v>45</v>
      </c>
      <c r="Q5" s="9" t="s">
        <v>46</v>
      </c>
      <c r="R5" s="9" t="s">
        <v>47</v>
      </c>
      <c r="S5" s="9" t="s">
        <v>48</v>
      </c>
      <c r="T5" s="9" t="s">
        <v>49</v>
      </c>
      <c r="U5" s="9" t="s">
        <v>50</v>
      </c>
      <c r="V5" s="9" t="s">
        <v>51</v>
      </c>
      <c r="W5" s="9" t="s">
        <v>52</v>
      </c>
      <c r="X5" s="9" t="s">
        <v>53</v>
      </c>
      <c r="Y5" s="9" t="s">
        <v>54</v>
      </c>
      <c r="Z5" s="9" t="s">
        <v>55</v>
      </c>
      <c r="AA5" s="9" t="s">
        <v>56</v>
      </c>
      <c r="AB5" s="9" t="s">
        <v>57</v>
      </c>
      <c r="AC5" s="9" t="s">
        <v>58</v>
      </c>
      <c r="AD5" s="9" t="s">
        <v>59</v>
      </c>
      <c r="AE5" s="9" t="s">
        <v>60</v>
      </c>
      <c r="AF5" s="9" t="s">
        <v>61</v>
      </c>
      <c r="AG5" s="9" t="s">
        <v>62</v>
      </c>
      <c r="AH5" s="9" t="s">
        <v>63</v>
      </c>
      <c r="AI5" s="9" t="s">
        <v>64</v>
      </c>
      <c r="AJ5" s="9" t="s">
        <v>65</v>
      </c>
      <c r="AK5" s="9" t="s">
        <v>66</v>
      </c>
      <c r="AL5" s="9" t="s">
        <v>67</v>
      </c>
      <c r="AM5" s="9" t="s">
        <v>68</v>
      </c>
      <c r="AN5" s="9" t="s">
        <v>69</v>
      </c>
      <c r="AO5" s="9" t="s">
        <v>70</v>
      </c>
      <c r="AP5" s="9" t="s">
        <v>71</v>
      </c>
      <c r="AQ5" s="9" t="s">
        <v>72</v>
      </c>
      <c r="AR5" s="9" t="s">
        <v>73</v>
      </c>
      <c r="AS5" s="9" t="s">
        <v>74</v>
      </c>
      <c r="AT5" s="9" t="s">
        <v>75</v>
      </c>
      <c r="AU5" s="9" t="s">
        <v>76</v>
      </c>
      <c r="AV5" s="9" t="s">
        <v>77</v>
      </c>
      <c r="AW5" s="9" t="s">
        <v>78</v>
      </c>
      <c r="AX5" s="9" t="s">
        <v>79</v>
      </c>
      <c r="AY5" s="9" t="s">
        <v>80</v>
      </c>
      <c r="AZ5" s="9" t="s">
        <v>81</v>
      </c>
      <c r="BA5" s="9" t="s">
        <v>82</v>
      </c>
      <c r="BB5" s="9" t="s">
        <v>83</v>
      </c>
      <c r="BC5" s="9" t="s">
        <v>84</v>
      </c>
      <c r="BD5" s="9" t="s">
        <v>85</v>
      </c>
      <c r="BE5" s="9" t="s">
        <v>86</v>
      </c>
      <c r="BF5" s="9" t="s">
        <v>87</v>
      </c>
      <c r="BG5" s="9" t="s">
        <v>88</v>
      </c>
      <c r="BH5" s="9" t="s">
        <v>89</v>
      </c>
      <c r="BI5" s="9" t="s">
        <v>90</v>
      </c>
      <c r="BJ5" s="9" t="s">
        <v>91</v>
      </c>
      <c r="BK5" s="9" t="s">
        <v>92</v>
      </c>
      <c r="BL5" s="9" t="s">
        <v>93</v>
      </c>
      <c r="BM5" s="9" t="s">
        <v>94</v>
      </c>
      <c r="BN5" s="9" t="s">
        <v>95</v>
      </c>
      <c r="BO5" s="9" t="s">
        <v>96</v>
      </c>
    </row>
    <row r="6" spans="2:68" ht="11.25" customHeight="1" x14ac:dyDescent="0.2">
      <c r="B6" s="19" t="s">
        <v>154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68" ht="11.25" customHeight="1" x14ac:dyDescent="0.2">
      <c r="B7" s="6"/>
      <c r="C7" s="6" t="s">
        <v>98</v>
      </c>
      <c r="D7" s="6"/>
      <c r="E7" s="11"/>
      <c r="F7" s="11">
        <f>'Ass &amp; ScenarioAnalysis'!$C$9</f>
        <v>10000</v>
      </c>
      <c r="G7" s="11">
        <f>'Ass &amp; ScenarioAnalysis'!$C$9</f>
        <v>10000</v>
      </c>
      <c r="H7" s="11">
        <f>G7</f>
        <v>10000</v>
      </c>
      <c r="I7" s="12">
        <f>H7*(1+I8)</f>
        <v>10025</v>
      </c>
      <c r="J7" s="12">
        <f t="shared" ref="J7:BP7" si="0">I7*(1+J8)</f>
        <v>10050.0625</v>
      </c>
      <c r="K7" s="12">
        <f t="shared" si="0"/>
        <v>10075.18765625</v>
      </c>
      <c r="L7" s="12">
        <f t="shared" si="0"/>
        <v>10100.375625390625</v>
      </c>
      <c r="M7" s="12">
        <f t="shared" si="0"/>
        <v>10125.626564454102</v>
      </c>
      <c r="N7" s="13">
        <f t="shared" si="0"/>
        <v>10150.940630865236</v>
      </c>
      <c r="O7" s="13">
        <f t="shared" si="0"/>
        <v>10176.317982442399</v>
      </c>
      <c r="P7" s="13">
        <f t="shared" si="0"/>
        <v>10201.758777398503</v>
      </c>
      <c r="Q7" s="13">
        <f t="shared" si="0"/>
        <v>10227.263174341999</v>
      </c>
      <c r="R7" s="13">
        <f t="shared" si="0"/>
        <v>10252.831332277854</v>
      </c>
      <c r="S7" s="13">
        <f t="shared" si="0"/>
        <v>10278.463410608549</v>
      </c>
      <c r="T7" s="13">
        <f t="shared" si="0"/>
        <v>10304.15956913507</v>
      </c>
      <c r="U7" s="13">
        <f t="shared" si="0"/>
        <v>10329.919968057908</v>
      </c>
      <c r="V7" s="13">
        <f t="shared" si="0"/>
        <v>10355.744767978053</v>
      </c>
      <c r="W7" s="13">
        <f t="shared" si="0"/>
        <v>10381.634129897997</v>
      </c>
      <c r="X7" s="13">
        <f t="shared" si="0"/>
        <v>10407.58821522274</v>
      </c>
      <c r="Y7" s="13">
        <f t="shared" si="0"/>
        <v>10433.607185760797</v>
      </c>
      <c r="Z7" s="13">
        <f t="shared" si="0"/>
        <v>10459.691203725199</v>
      </c>
      <c r="AA7" s="13">
        <f t="shared" si="0"/>
        <v>10485.84043173451</v>
      </c>
      <c r="AB7" s="13">
        <f t="shared" si="0"/>
        <v>10512.055032813845</v>
      </c>
      <c r="AC7" s="13">
        <f t="shared" si="0"/>
        <v>10538.33517039588</v>
      </c>
      <c r="AD7" s="13">
        <f t="shared" si="0"/>
        <v>10564.681008321868</v>
      </c>
      <c r="AE7" s="13">
        <f t="shared" si="0"/>
        <v>10591.092710842671</v>
      </c>
      <c r="AF7" s="13">
        <f t="shared" si="0"/>
        <v>10617.570442619777</v>
      </c>
      <c r="AG7" s="13">
        <f t="shared" si="0"/>
        <v>10644.114368726327</v>
      </c>
      <c r="AH7" s="13">
        <f t="shared" si="0"/>
        <v>10670.724654648142</v>
      </c>
      <c r="AI7" s="13">
        <f t="shared" si="0"/>
        <v>10697.401466284762</v>
      </c>
      <c r="AJ7" s="13">
        <f t="shared" si="0"/>
        <v>10724.144969950474</v>
      </c>
      <c r="AK7" s="13">
        <f t="shared" si="0"/>
        <v>10750.95533237535</v>
      </c>
      <c r="AL7" s="13">
        <f t="shared" si="0"/>
        <v>10777.832720706288</v>
      </c>
      <c r="AM7" s="13">
        <f t="shared" si="0"/>
        <v>10804.777302508053</v>
      </c>
      <c r="AN7" s="13">
        <f t="shared" si="0"/>
        <v>10831.789245764323</v>
      </c>
      <c r="AO7" s="13">
        <f t="shared" si="0"/>
        <v>10858.868718878733</v>
      </c>
      <c r="AP7" s="13">
        <f t="shared" si="0"/>
        <v>10886.01589067593</v>
      </c>
      <c r="AQ7" s="13">
        <f t="shared" si="0"/>
        <v>10913.230930402618</v>
      </c>
      <c r="AR7" s="13">
        <f t="shared" si="0"/>
        <v>10940.514007728625</v>
      </c>
      <c r="AS7" s="13">
        <f t="shared" si="0"/>
        <v>10967.865292747945</v>
      </c>
      <c r="AT7" s="13">
        <f t="shared" si="0"/>
        <v>10995.284955979814</v>
      </c>
      <c r="AU7" s="13">
        <f t="shared" si="0"/>
        <v>11022.773168369764</v>
      </c>
      <c r="AV7" s="13">
        <f t="shared" si="0"/>
        <v>11050.330101290687</v>
      </c>
      <c r="AW7" s="13">
        <f t="shared" si="0"/>
        <v>11077.955926543913</v>
      </c>
      <c r="AX7" s="13">
        <f t="shared" si="0"/>
        <v>11105.650816360272</v>
      </c>
      <c r="AY7" s="13">
        <f t="shared" si="0"/>
        <v>11133.414943401172</v>
      </c>
      <c r="AZ7" s="13">
        <f t="shared" si="0"/>
        <v>11161.248480759676</v>
      </c>
      <c r="BA7" s="13">
        <f t="shared" si="0"/>
        <v>11189.151601961574</v>
      </c>
      <c r="BB7" s="13">
        <f t="shared" si="0"/>
        <v>11217.124480966477</v>
      </c>
      <c r="BC7" s="13">
        <f t="shared" si="0"/>
        <v>11245.167292168893</v>
      </c>
      <c r="BD7" s="13">
        <f t="shared" si="0"/>
        <v>11273.280210399314</v>
      </c>
      <c r="BE7" s="13">
        <f t="shared" si="0"/>
        <v>11301.463410925313</v>
      </c>
      <c r="BF7" s="13">
        <f t="shared" si="0"/>
        <v>11329.717069452625</v>
      </c>
      <c r="BG7" s="13">
        <f t="shared" si="0"/>
        <v>11358.041362126256</v>
      </c>
      <c r="BH7" s="13">
        <f t="shared" si="0"/>
        <v>11386.436465531571</v>
      </c>
      <c r="BI7" s="13">
        <f t="shared" si="0"/>
        <v>11414.902556695399</v>
      </c>
      <c r="BJ7" s="13">
        <f t="shared" si="0"/>
        <v>11443.439813087136</v>
      </c>
      <c r="BK7" s="13">
        <f t="shared" si="0"/>
        <v>11472.048412619853</v>
      </c>
      <c r="BL7" s="13">
        <f t="shared" si="0"/>
        <v>11500.728533651403</v>
      </c>
      <c r="BM7" s="13">
        <f t="shared" si="0"/>
        <v>11529.480354985531</v>
      </c>
      <c r="BN7" s="13">
        <f t="shared" si="0"/>
        <v>11558.304055872995</v>
      </c>
      <c r="BO7" s="13">
        <f t="shared" si="0"/>
        <v>11587.199816012677</v>
      </c>
      <c r="BP7" s="13">
        <f t="shared" si="0"/>
        <v>11616.167815552708</v>
      </c>
    </row>
    <row r="8" spans="2:68" ht="11.25" customHeight="1" x14ac:dyDescent="0.2">
      <c r="B8" s="6"/>
      <c r="C8" s="6" t="s">
        <v>32</v>
      </c>
      <c r="D8" s="6"/>
      <c r="E8" s="6"/>
      <c r="F8" s="6"/>
      <c r="G8" s="6"/>
      <c r="H8" s="182">
        <f>'Ass &amp; ScenarioAnalysis'!C31</f>
        <v>2.5000000000000001E-3</v>
      </c>
      <c r="I8" s="14">
        <f>H8</f>
        <v>2.5000000000000001E-3</v>
      </c>
      <c r="J8" s="14">
        <f>I8</f>
        <v>2.5000000000000001E-3</v>
      </c>
      <c r="K8" s="14">
        <f t="shared" ref="K8:BP8" si="1">J8</f>
        <v>2.5000000000000001E-3</v>
      </c>
      <c r="L8" s="14">
        <f t="shared" si="1"/>
        <v>2.5000000000000001E-3</v>
      </c>
      <c r="M8" s="14">
        <f t="shared" si="1"/>
        <v>2.5000000000000001E-3</v>
      </c>
      <c r="N8" s="14">
        <f t="shared" si="1"/>
        <v>2.5000000000000001E-3</v>
      </c>
      <c r="O8" s="14">
        <f t="shared" si="1"/>
        <v>2.5000000000000001E-3</v>
      </c>
      <c r="P8" s="14">
        <f t="shared" si="1"/>
        <v>2.5000000000000001E-3</v>
      </c>
      <c r="Q8" s="14">
        <f t="shared" si="1"/>
        <v>2.5000000000000001E-3</v>
      </c>
      <c r="R8" s="14">
        <f t="shared" si="1"/>
        <v>2.5000000000000001E-3</v>
      </c>
      <c r="S8" s="14">
        <f t="shared" si="1"/>
        <v>2.5000000000000001E-3</v>
      </c>
      <c r="T8" s="14">
        <f t="shared" si="1"/>
        <v>2.5000000000000001E-3</v>
      </c>
      <c r="U8" s="14">
        <f t="shared" si="1"/>
        <v>2.5000000000000001E-3</v>
      </c>
      <c r="V8" s="14">
        <f t="shared" si="1"/>
        <v>2.5000000000000001E-3</v>
      </c>
      <c r="W8" s="14">
        <f t="shared" si="1"/>
        <v>2.5000000000000001E-3</v>
      </c>
      <c r="X8" s="14">
        <f t="shared" si="1"/>
        <v>2.5000000000000001E-3</v>
      </c>
      <c r="Y8" s="14">
        <f t="shared" si="1"/>
        <v>2.5000000000000001E-3</v>
      </c>
      <c r="Z8" s="14">
        <f t="shared" si="1"/>
        <v>2.5000000000000001E-3</v>
      </c>
      <c r="AA8" s="14">
        <f t="shared" si="1"/>
        <v>2.5000000000000001E-3</v>
      </c>
      <c r="AB8" s="14">
        <f t="shared" si="1"/>
        <v>2.5000000000000001E-3</v>
      </c>
      <c r="AC8" s="14">
        <f t="shared" si="1"/>
        <v>2.5000000000000001E-3</v>
      </c>
      <c r="AD8" s="14">
        <f t="shared" si="1"/>
        <v>2.5000000000000001E-3</v>
      </c>
      <c r="AE8" s="14">
        <f t="shared" si="1"/>
        <v>2.5000000000000001E-3</v>
      </c>
      <c r="AF8" s="14">
        <f t="shared" si="1"/>
        <v>2.5000000000000001E-3</v>
      </c>
      <c r="AG8" s="14">
        <f t="shared" si="1"/>
        <v>2.5000000000000001E-3</v>
      </c>
      <c r="AH8" s="14">
        <f t="shared" si="1"/>
        <v>2.5000000000000001E-3</v>
      </c>
      <c r="AI8" s="14">
        <f t="shared" si="1"/>
        <v>2.5000000000000001E-3</v>
      </c>
      <c r="AJ8" s="14">
        <f t="shared" si="1"/>
        <v>2.5000000000000001E-3</v>
      </c>
      <c r="AK8" s="14">
        <f t="shared" si="1"/>
        <v>2.5000000000000001E-3</v>
      </c>
      <c r="AL8" s="14">
        <f t="shared" si="1"/>
        <v>2.5000000000000001E-3</v>
      </c>
      <c r="AM8" s="14">
        <f t="shared" si="1"/>
        <v>2.5000000000000001E-3</v>
      </c>
      <c r="AN8" s="14">
        <f t="shared" si="1"/>
        <v>2.5000000000000001E-3</v>
      </c>
      <c r="AO8" s="14">
        <f t="shared" si="1"/>
        <v>2.5000000000000001E-3</v>
      </c>
      <c r="AP8" s="14">
        <f t="shared" si="1"/>
        <v>2.5000000000000001E-3</v>
      </c>
      <c r="AQ8" s="14">
        <f t="shared" si="1"/>
        <v>2.5000000000000001E-3</v>
      </c>
      <c r="AR8" s="14">
        <f t="shared" si="1"/>
        <v>2.5000000000000001E-3</v>
      </c>
      <c r="AS8" s="14">
        <f t="shared" si="1"/>
        <v>2.5000000000000001E-3</v>
      </c>
      <c r="AT8" s="14">
        <f t="shared" si="1"/>
        <v>2.5000000000000001E-3</v>
      </c>
      <c r="AU8" s="14">
        <f t="shared" si="1"/>
        <v>2.5000000000000001E-3</v>
      </c>
      <c r="AV8" s="14">
        <f t="shared" si="1"/>
        <v>2.5000000000000001E-3</v>
      </c>
      <c r="AW8" s="14">
        <f t="shared" si="1"/>
        <v>2.5000000000000001E-3</v>
      </c>
      <c r="AX8" s="14">
        <f t="shared" si="1"/>
        <v>2.5000000000000001E-3</v>
      </c>
      <c r="AY8" s="14">
        <f t="shared" si="1"/>
        <v>2.5000000000000001E-3</v>
      </c>
      <c r="AZ8" s="14">
        <f t="shared" si="1"/>
        <v>2.5000000000000001E-3</v>
      </c>
      <c r="BA8" s="14">
        <f t="shared" si="1"/>
        <v>2.5000000000000001E-3</v>
      </c>
      <c r="BB8" s="14">
        <f t="shared" si="1"/>
        <v>2.5000000000000001E-3</v>
      </c>
      <c r="BC8" s="14">
        <f t="shared" si="1"/>
        <v>2.5000000000000001E-3</v>
      </c>
      <c r="BD8" s="14">
        <f t="shared" si="1"/>
        <v>2.5000000000000001E-3</v>
      </c>
      <c r="BE8" s="14">
        <f t="shared" si="1"/>
        <v>2.5000000000000001E-3</v>
      </c>
      <c r="BF8" s="14">
        <f t="shared" si="1"/>
        <v>2.5000000000000001E-3</v>
      </c>
      <c r="BG8" s="14">
        <f t="shared" si="1"/>
        <v>2.5000000000000001E-3</v>
      </c>
      <c r="BH8" s="14">
        <f t="shared" si="1"/>
        <v>2.5000000000000001E-3</v>
      </c>
      <c r="BI8" s="14">
        <f t="shared" si="1"/>
        <v>2.5000000000000001E-3</v>
      </c>
      <c r="BJ8" s="14">
        <f t="shared" si="1"/>
        <v>2.5000000000000001E-3</v>
      </c>
      <c r="BK8" s="14">
        <f t="shared" si="1"/>
        <v>2.5000000000000001E-3</v>
      </c>
      <c r="BL8" s="14">
        <f t="shared" si="1"/>
        <v>2.5000000000000001E-3</v>
      </c>
      <c r="BM8" s="14">
        <f t="shared" si="1"/>
        <v>2.5000000000000001E-3</v>
      </c>
      <c r="BN8" s="14">
        <f t="shared" si="1"/>
        <v>2.5000000000000001E-3</v>
      </c>
      <c r="BO8" s="14">
        <f t="shared" si="1"/>
        <v>2.5000000000000001E-3</v>
      </c>
      <c r="BP8" s="14">
        <f t="shared" si="1"/>
        <v>2.5000000000000001E-3</v>
      </c>
    </row>
    <row r="9" spans="2:68" ht="11.2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68" ht="11.25" customHeight="1" x14ac:dyDescent="0.2">
      <c r="B10" s="6"/>
      <c r="C10" s="6" t="s">
        <v>155</v>
      </c>
      <c r="D10" s="6"/>
      <c r="E10" s="12">
        <f>E7*'Ass &amp; ScenarioAnalysis'!$C$11</f>
        <v>0</v>
      </c>
      <c r="F10" s="12">
        <f>F7*'Ass &amp; ScenarioAnalysis'!$C$30</f>
        <v>5000000</v>
      </c>
      <c r="G10" s="12">
        <f>G7*'Ass &amp; ScenarioAnalysis'!$C$30</f>
        <v>5000000</v>
      </c>
      <c r="H10" s="12">
        <f>H7*'Ass &amp; ScenarioAnalysis'!$C$30</f>
        <v>5000000</v>
      </c>
      <c r="I10" s="12">
        <f>I7*'Ass &amp; ScenarioAnalysis'!$C$30</f>
        <v>5012500</v>
      </c>
      <c r="J10" s="12">
        <f>J7*'Ass &amp; ScenarioAnalysis'!$C$30</f>
        <v>5025031.25</v>
      </c>
      <c r="K10" s="12">
        <f>K7*'Ass &amp; ScenarioAnalysis'!$C$30</f>
        <v>5037593.828125</v>
      </c>
      <c r="L10" s="12">
        <f>L7*'Ass &amp; ScenarioAnalysis'!$C$30</f>
        <v>5050187.8126953123</v>
      </c>
      <c r="M10" s="12">
        <f>M7*'Ass &amp; ScenarioAnalysis'!$C$30</f>
        <v>5062813.2822270505</v>
      </c>
      <c r="N10" s="12">
        <f>N7*'Ass &amp; ScenarioAnalysis'!$C$30</f>
        <v>5075470.3154326184</v>
      </c>
      <c r="O10" s="12">
        <f>O7*'Ass &amp; ScenarioAnalysis'!$C$30</f>
        <v>5088158.9912211997</v>
      </c>
      <c r="P10" s="12">
        <f>P7*'Ass &amp; ScenarioAnalysis'!$C$30</f>
        <v>5100879.3886992512</v>
      </c>
      <c r="Q10" s="12">
        <f>Q7*'Ass &amp; ScenarioAnalysis'!$C$30</f>
        <v>5113631.5871709995</v>
      </c>
      <c r="R10" s="12">
        <f>R7*'Ass &amp; ScenarioAnalysis'!$C$30</f>
        <v>5126415.6661389275</v>
      </c>
      <c r="S10" s="12">
        <f>S7*'Ass &amp; ScenarioAnalysis'!$C$30</f>
        <v>5139231.7053042743</v>
      </c>
      <c r="T10" s="12">
        <f>T7*'Ass &amp; ScenarioAnalysis'!$C$30</f>
        <v>5152079.7845675349</v>
      </c>
      <c r="U10" s="12">
        <f>U7*'Ass &amp; ScenarioAnalysis'!$C$30</f>
        <v>5164959.9840289541</v>
      </c>
      <c r="V10" s="12">
        <f>V7*'Ass &amp; ScenarioAnalysis'!$C$30</f>
        <v>5177872.3839890258</v>
      </c>
      <c r="W10" s="12">
        <f>W7*'Ass &amp; ScenarioAnalysis'!$C$30</f>
        <v>5190817.0649489984</v>
      </c>
      <c r="X10" s="12">
        <f>X7*'Ass &amp; ScenarioAnalysis'!$C$30</f>
        <v>5203794.1076113703</v>
      </c>
      <c r="Y10" s="12">
        <f>Y7*'Ass &amp; ScenarioAnalysis'!$C$30</f>
        <v>5216803.592880398</v>
      </c>
      <c r="Z10" s="12">
        <f>Z7*'Ass &amp; ScenarioAnalysis'!$C$30</f>
        <v>5229845.6018625991</v>
      </c>
      <c r="AA10" s="12">
        <f>AA7*'Ass &amp; ScenarioAnalysis'!$C$30</f>
        <v>5242920.2158672549</v>
      </c>
      <c r="AB10" s="12">
        <f>AB7*'Ass &amp; ScenarioAnalysis'!$C$30</f>
        <v>5256027.5164069226</v>
      </c>
      <c r="AC10" s="12">
        <f>AC7*'Ass &amp; ScenarioAnalysis'!$C$30</f>
        <v>5269167.5851979395</v>
      </c>
      <c r="AD10" s="12">
        <f>AD7*'Ass &amp; ScenarioAnalysis'!$C$30</f>
        <v>5282340.5041609341</v>
      </c>
      <c r="AE10" s="12">
        <f>AE7*'Ass &amp; ScenarioAnalysis'!$C$30</f>
        <v>5295546.3554213354</v>
      </c>
      <c r="AF10" s="12">
        <f>AF7*'Ass &amp; ScenarioAnalysis'!$C$30</f>
        <v>5308785.2213098882</v>
      </c>
      <c r="AG10" s="12">
        <f>AG7*'Ass &amp; ScenarioAnalysis'!$C$30</f>
        <v>5322057.1843631631</v>
      </c>
      <c r="AH10" s="12">
        <f>AH7*'Ass &amp; ScenarioAnalysis'!$C$30</f>
        <v>5335362.327324071</v>
      </c>
      <c r="AI10" s="12">
        <f>AI7*'Ass &amp; ScenarioAnalysis'!$C$30</f>
        <v>5348700.7331423815</v>
      </c>
      <c r="AJ10" s="12">
        <f>AJ7*'Ass &amp; ScenarioAnalysis'!$C$30</f>
        <v>5362072.4849752365</v>
      </c>
      <c r="AK10" s="12">
        <f>AK7*'Ass &amp; ScenarioAnalysis'!$C$30</f>
        <v>5375477.6661876747</v>
      </c>
      <c r="AL10" s="12">
        <f>AL7*'Ass &amp; ScenarioAnalysis'!$C$30</f>
        <v>5388916.3603531439</v>
      </c>
      <c r="AM10" s="12">
        <f>AM7*'Ass &amp; ScenarioAnalysis'!$C$30</f>
        <v>5402388.6512540262</v>
      </c>
      <c r="AN10" s="12">
        <f>AN7*'Ass &amp; ScenarioAnalysis'!$C$30</f>
        <v>5415894.6228821613</v>
      </c>
      <c r="AO10" s="12">
        <f>AO7*'Ass &amp; ScenarioAnalysis'!$C$30</f>
        <v>5429434.3594393665</v>
      </c>
      <c r="AP10" s="12">
        <f>AP7*'Ass &amp; ScenarioAnalysis'!$C$30</f>
        <v>5443007.9453379652</v>
      </c>
      <c r="AQ10" s="12">
        <f>AQ7*'Ass &amp; ScenarioAnalysis'!$C$30</f>
        <v>5456615.465201309</v>
      </c>
      <c r="AR10" s="12">
        <f>AR7*'Ass &amp; ScenarioAnalysis'!$C$30</f>
        <v>5470257.0038643125</v>
      </c>
      <c r="AS10" s="12">
        <f>AS7*'Ass &amp; ScenarioAnalysis'!$C$30</f>
        <v>5483932.6463739723</v>
      </c>
      <c r="AT10" s="12">
        <f>AT7*'Ass &amp; ScenarioAnalysis'!$C$30</f>
        <v>5497642.4779899074</v>
      </c>
      <c r="AU10" s="12">
        <f>AU7*'Ass &amp; ScenarioAnalysis'!$C$30</f>
        <v>5511386.5841848822</v>
      </c>
      <c r="AV10" s="12">
        <f>AV7*'Ass &amp; ScenarioAnalysis'!$C$30</f>
        <v>5525165.050645343</v>
      </c>
      <c r="AW10" s="12">
        <f>AW7*'Ass &amp; ScenarioAnalysis'!$C$30</f>
        <v>5538977.9632719569</v>
      </c>
      <c r="AX10" s="12">
        <f>AX7*'Ass &amp; ScenarioAnalysis'!$C$30</f>
        <v>5552825.4081801362</v>
      </c>
      <c r="AY10" s="12">
        <f>AY7*'Ass &amp; ScenarioAnalysis'!$C$30</f>
        <v>5566707.4717005864</v>
      </c>
      <c r="AZ10" s="12">
        <f>AZ7*'Ass &amp; ScenarioAnalysis'!$C$30</f>
        <v>5580624.2403798383</v>
      </c>
      <c r="BA10" s="12">
        <f>BA7*'Ass &amp; ScenarioAnalysis'!$C$30</f>
        <v>5594575.8009807868</v>
      </c>
      <c r="BB10" s="12">
        <f>BB7*'Ass &amp; ScenarioAnalysis'!$C$30</f>
        <v>5608562.2404832384</v>
      </c>
      <c r="BC10" s="12">
        <f>BC7*'Ass &amp; ScenarioAnalysis'!$C$30</f>
        <v>5622583.6460844465</v>
      </c>
      <c r="BD10" s="12">
        <f>BD7*'Ass &amp; ScenarioAnalysis'!$C$30</f>
        <v>5636640.1051996574</v>
      </c>
      <c r="BE10" s="12">
        <f>BE7*'Ass &amp; ScenarioAnalysis'!$C$30</f>
        <v>5650731.7054626569</v>
      </c>
      <c r="BF10" s="12">
        <f>BF7*'Ass &amp; ScenarioAnalysis'!$C$30</f>
        <v>5664858.5347263124</v>
      </c>
      <c r="BG10" s="12">
        <f>BG7*'Ass &amp; ScenarioAnalysis'!$C$30</f>
        <v>5679020.6810631277</v>
      </c>
      <c r="BH10" s="12">
        <f>BH7*'Ass &amp; ScenarioAnalysis'!$C$30</f>
        <v>5693218.2327657854</v>
      </c>
      <c r="BI10" s="12">
        <f>BI7*'Ass &amp; ScenarioAnalysis'!$C$30</f>
        <v>5707451.278347699</v>
      </c>
      <c r="BJ10" s="12">
        <f>BJ7*'Ass &amp; ScenarioAnalysis'!$C$30</f>
        <v>5721719.9065435678</v>
      </c>
      <c r="BK10" s="12">
        <f>BK7*'Ass &amp; ScenarioAnalysis'!$C$30</f>
        <v>5736024.2063099267</v>
      </c>
      <c r="BL10" s="12">
        <f>BL7*'Ass &amp; ScenarioAnalysis'!$C$30</f>
        <v>5750364.266825702</v>
      </c>
      <c r="BM10" s="12">
        <f>BM7*'Ass &amp; ScenarioAnalysis'!$C$30</f>
        <v>5764740.1774927657</v>
      </c>
      <c r="BN10" s="12">
        <f>BN7*'Ass &amp; ScenarioAnalysis'!$C$30</f>
        <v>5779152.0279364977</v>
      </c>
      <c r="BO10" s="12">
        <f>BO7*'Ass &amp; ScenarioAnalysis'!$C$30</f>
        <v>5793599.9080063384</v>
      </c>
      <c r="BP10" s="12">
        <f>BP7*'Ass &amp; ScenarioAnalysis'!$C$11</f>
        <v>6388892.2985539893</v>
      </c>
    </row>
    <row r="11" spans="2:68" ht="11.2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68" ht="11.25" customHeigh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68" ht="11.2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2:68" ht="11.25" customHeight="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6" spans="2:68" ht="11.25" customHeight="1" x14ac:dyDescent="0.2">
      <c r="B16" s="18" t="s">
        <v>157</v>
      </c>
    </row>
    <row r="17" spans="2:68" s="17" customFormat="1" ht="11.25" customHeight="1" x14ac:dyDescent="0.2">
      <c r="C17" s="17" t="s">
        <v>6</v>
      </c>
      <c r="D17" s="17">
        <v>3000000</v>
      </c>
      <c r="E17" s="17">
        <v>3000000</v>
      </c>
      <c r="F17" s="17">
        <f>E17</f>
        <v>3000000</v>
      </c>
      <c r="G17" s="17">
        <f t="shared" ref="G17:S17" si="2">F17</f>
        <v>3000000</v>
      </c>
      <c r="H17" s="17">
        <f t="shared" si="2"/>
        <v>3000000</v>
      </c>
      <c r="I17" s="17">
        <f t="shared" si="2"/>
        <v>3000000</v>
      </c>
      <c r="J17" s="17">
        <f t="shared" si="2"/>
        <v>3000000</v>
      </c>
      <c r="K17" s="17">
        <f t="shared" si="2"/>
        <v>3000000</v>
      </c>
      <c r="L17" s="17">
        <f t="shared" si="2"/>
        <v>3000000</v>
      </c>
      <c r="M17" s="17">
        <f t="shared" si="2"/>
        <v>3000000</v>
      </c>
      <c r="N17" s="17">
        <f t="shared" si="2"/>
        <v>3000000</v>
      </c>
      <c r="O17" s="17">
        <f t="shared" si="2"/>
        <v>3000000</v>
      </c>
      <c r="P17" s="17">
        <f t="shared" si="2"/>
        <v>3000000</v>
      </c>
      <c r="Q17" s="17">
        <f t="shared" si="2"/>
        <v>3000000</v>
      </c>
      <c r="R17" s="17">
        <f t="shared" si="2"/>
        <v>3000000</v>
      </c>
      <c r="S17" s="17">
        <f t="shared" si="2"/>
        <v>3000000</v>
      </c>
    </row>
    <row r="18" spans="2:68" s="17" customFormat="1" ht="11.25" customHeight="1" x14ac:dyDescent="0.2">
      <c r="C18" s="17" t="s">
        <v>158</v>
      </c>
      <c r="D18" s="17">
        <f>D17*'Ass &amp; ScenarioAnalysis'!$C$36</f>
        <v>750000</v>
      </c>
      <c r="E18" s="17">
        <f>E17*'Ass &amp; ScenarioAnalysis'!$C$36</f>
        <v>750000</v>
      </c>
      <c r="F18" s="17">
        <f>F17*'Ass &amp; ScenarioAnalysis'!$C$36</f>
        <v>750000</v>
      </c>
      <c r="G18" s="17">
        <f>G17*'Ass &amp; ScenarioAnalysis'!$C$36</f>
        <v>750000</v>
      </c>
      <c r="H18" s="17">
        <f>H17*'Ass &amp; ScenarioAnalysis'!$C$36</f>
        <v>750000</v>
      </c>
      <c r="I18" s="17">
        <f>I17*'Ass &amp; ScenarioAnalysis'!$C$36</f>
        <v>750000</v>
      </c>
      <c r="J18" s="17">
        <f>J17*'Ass &amp; ScenarioAnalysis'!$C$36</f>
        <v>750000</v>
      </c>
      <c r="K18" s="17">
        <f>K17*'Ass &amp; ScenarioAnalysis'!$C$36</f>
        <v>750000</v>
      </c>
      <c r="L18" s="17">
        <f>L17*'Ass &amp; ScenarioAnalysis'!$C$36</f>
        <v>750000</v>
      </c>
      <c r="M18" s="17">
        <f>M17*'Ass &amp; ScenarioAnalysis'!$C$36</f>
        <v>750000</v>
      </c>
      <c r="N18" s="17">
        <f>N17*'Ass &amp; ScenarioAnalysis'!$C$36</f>
        <v>750000</v>
      </c>
      <c r="O18" s="17">
        <f>O17*'Ass &amp; ScenarioAnalysis'!$C$36</f>
        <v>750000</v>
      </c>
      <c r="P18" s="17">
        <f>P17*'Ass &amp; ScenarioAnalysis'!$C$36</f>
        <v>750000</v>
      </c>
      <c r="Q18" s="17">
        <f>Q17*'Ass &amp; ScenarioAnalysis'!$C$36</f>
        <v>750000</v>
      </c>
      <c r="R18" s="17">
        <f>R17*'Ass &amp; ScenarioAnalysis'!$C$36</f>
        <v>750000</v>
      </c>
      <c r="S18" s="17">
        <f>S17*'Ass &amp; ScenarioAnalysis'!$C$36</f>
        <v>750000</v>
      </c>
    </row>
    <row r="19" spans="2:68" s="17" customFormat="1" ht="11.25" customHeight="1" x14ac:dyDescent="0.2">
      <c r="C19" s="17" t="s">
        <v>159</v>
      </c>
      <c r="D19" s="17">
        <f>D17+D18</f>
        <v>3750000</v>
      </c>
      <c r="E19" s="17">
        <f>E17+E18</f>
        <v>3750000</v>
      </c>
      <c r="F19" s="17">
        <f>SUM(F17:F18)</f>
        <v>3750000</v>
      </c>
      <c r="G19" s="17">
        <f t="shared" ref="G19:S19" si="3">SUM(G17:G18)</f>
        <v>3750000</v>
      </c>
      <c r="H19" s="17">
        <f t="shared" si="3"/>
        <v>3750000</v>
      </c>
      <c r="I19" s="17">
        <f t="shared" si="3"/>
        <v>3750000</v>
      </c>
      <c r="J19" s="17">
        <f t="shared" si="3"/>
        <v>3750000</v>
      </c>
      <c r="K19" s="17">
        <f t="shared" si="3"/>
        <v>3750000</v>
      </c>
      <c r="L19" s="17">
        <f t="shared" si="3"/>
        <v>3750000</v>
      </c>
      <c r="M19" s="17">
        <f t="shared" si="3"/>
        <v>3750000</v>
      </c>
      <c r="N19" s="17">
        <f t="shared" si="3"/>
        <v>3750000</v>
      </c>
      <c r="O19" s="17">
        <f t="shared" si="3"/>
        <v>3750000</v>
      </c>
      <c r="P19" s="17">
        <f t="shared" si="3"/>
        <v>3750000</v>
      </c>
      <c r="Q19" s="17">
        <f t="shared" si="3"/>
        <v>3750000</v>
      </c>
      <c r="R19" s="17">
        <f t="shared" si="3"/>
        <v>3750000</v>
      </c>
      <c r="S19" s="17">
        <f t="shared" si="3"/>
        <v>3750000</v>
      </c>
    </row>
    <row r="20" spans="2:68" ht="11.25" customHeight="1" x14ac:dyDescent="0.2">
      <c r="G20" s="16"/>
    </row>
    <row r="22" spans="2:68" ht="11.25" customHeight="1" x14ac:dyDescent="0.2">
      <c r="B22" s="18" t="s">
        <v>8</v>
      </c>
    </row>
    <row r="23" spans="2:68" s="17" customFormat="1" ht="11.25" customHeight="1" x14ac:dyDescent="0.2">
      <c r="C23" s="17" t="s">
        <v>114</v>
      </c>
      <c r="D23" s="17">
        <v>1000</v>
      </c>
      <c r="E23" s="17">
        <f>D26</f>
        <v>1450</v>
      </c>
      <c r="F23" s="17">
        <f t="shared" ref="F23:BP23" si="4">E26</f>
        <v>1953.35</v>
      </c>
      <c r="G23" s="17">
        <f t="shared" si="4"/>
        <v>2460.0724449999998</v>
      </c>
      <c r="H23" s="17">
        <f t="shared" si="4"/>
        <v>2970.1899303814998</v>
      </c>
      <c r="I23" s="17">
        <f t="shared" si="4"/>
        <v>3483.7252029150559</v>
      </c>
      <c r="J23" s="17">
        <f t="shared" si="4"/>
        <v>4000.7011617745866</v>
      </c>
      <c r="K23" s="17">
        <f t="shared" si="4"/>
        <v>4521.1408595584762</v>
      </c>
      <c r="L23" s="17">
        <f t="shared" si="4"/>
        <v>5045.0675033175175</v>
      </c>
      <c r="M23" s="17">
        <f t="shared" si="4"/>
        <v>5572.5044555897448</v>
      </c>
      <c r="N23" s="17">
        <f t="shared" si="4"/>
        <v>6103.4752354421962</v>
      </c>
      <c r="O23" s="17">
        <f t="shared" si="4"/>
        <v>6638.0035195196588</v>
      </c>
      <c r="P23" s="17">
        <f t="shared" si="4"/>
        <v>7176.1131431004396</v>
      </c>
      <c r="Q23" s="17">
        <f t="shared" si="4"/>
        <v>7717.8281011592117</v>
      </c>
      <c r="R23" s="17">
        <f t="shared" si="4"/>
        <v>8263.1725494369784</v>
      </c>
      <c r="S23" s="17">
        <f t="shared" si="4"/>
        <v>8812.1708055182062</v>
      </c>
      <c r="T23" s="17">
        <f t="shared" si="4"/>
        <v>9364.8473499151769</v>
      </c>
      <c r="U23" s="17">
        <f t="shared" si="4"/>
        <v>9921.2268271596076</v>
      </c>
      <c r="V23" s="17">
        <f t="shared" si="4"/>
        <v>10481.334046901577</v>
      </c>
      <c r="W23" s="17">
        <f t="shared" si="4"/>
        <v>11045.193985015816</v>
      </c>
      <c r="X23" s="17">
        <f t="shared" si="4"/>
        <v>11612.831784715421</v>
      </c>
      <c r="Y23" s="17">
        <f t="shared" si="4"/>
        <v>12184.272757673014</v>
      </c>
      <c r="Z23" s="17">
        <f t="shared" si="4"/>
        <v>12759.542385149422</v>
      </c>
      <c r="AA23" s="17">
        <f t="shared" si="4"/>
        <v>13338.666319129921</v>
      </c>
      <c r="AB23" s="17">
        <f t="shared" si="4"/>
        <v>13921.67038346809</v>
      </c>
      <c r="AC23" s="17">
        <f t="shared" si="4"/>
        <v>14508.580575037326</v>
      </c>
      <c r="AD23" s="17">
        <f t="shared" si="4"/>
        <v>15099.423064890074</v>
      </c>
      <c r="AE23" s="17">
        <f t="shared" si="4"/>
        <v>15694.224199424836</v>
      </c>
      <c r="AF23" s="17">
        <f t="shared" si="4"/>
        <v>16293.010501560981</v>
      </c>
      <c r="AG23" s="17">
        <f t="shared" si="4"/>
        <v>16895.808671921437</v>
      </c>
      <c r="AH23" s="17">
        <f t="shared" si="4"/>
        <v>17502.645590023309</v>
      </c>
      <c r="AI23" s="17">
        <f t="shared" si="4"/>
        <v>18113.548315476462</v>
      </c>
      <c r="AJ23" s="17">
        <f t="shared" si="4"/>
        <v>18728.544089190153</v>
      </c>
      <c r="AK23" s="17">
        <f t="shared" si="4"/>
        <v>19347.660334587727</v>
      </c>
      <c r="AL23" s="17">
        <f t="shared" si="4"/>
        <v>19970.924658829463</v>
      </c>
      <c r="AM23" s="17">
        <f t="shared" si="4"/>
        <v>20598.364854043619</v>
      </c>
      <c r="AN23" s="17">
        <f t="shared" si="4"/>
        <v>21230.008898565709</v>
      </c>
      <c r="AO23" s="17">
        <f t="shared" si="4"/>
        <v>21865.8849581861</v>
      </c>
      <c r="AP23" s="17">
        <f t="shared" si="4"/>
        <v>22506.021387405945</v>
      </c>
      <c r="AQ23" s="17">
        <f t="shared" si="4"/>
        <v>23150.446730701562</v>
      </c>
      <c r="AR23" s="17">
        <f t="shared" si="4"/>
        <v>23799.189723797263</v>
      </c>
      <c r="AS23" s="17">
        <f t="shared" si="4"/>
        <v>24452.279294946704</v>
      </c>
      <c r="AT23" s="17">
        <f t="shared" si="4"/>
        <v>25109.744566222846</v>
      </c>
      <c r="AU23" s="17">
        <f t="shared" si="4"/>
        <v>25771.614854816537</v>
      </c>
      <c r="AV23" s="17">
        <f t="shared" si="4"/>
        <v>26437.919674343804</v>
      </c>
      <c r="AW23" s="17">
        <f t="shared" si="4"/>
        <v>27108.688736161905</v>
      </c>
      <c r="AX23" s="17">
        <f t="shared" si="4"/>
        <v>27783.951950694187</v>
      </c>
      <c r="AY23" s="17">
        <f t="shared" si="4"/>
        <v>28463.739428763838</v>
      </c>
      <c r="AZ23" s="17">
        <f t="shared" si="4"/>
        <v>29148.081482936555</v>
      </c>
      <c r="BA23" s="17">
        <f t="shared" si="4"/>
        <v>29837.008628872227</v>
      </c>
      <c r="BB23" s="17">
        <f t="shared" si="4"/>
        <v>30530.551586685669</v>
      </c>
      <c r="BC23" s="17">
        <f t="shared" si="4"/>
        <v>31228.741282316463</v>
      </c>
      <c r="BD23" s="17">
        <f t="shared" si="4"/>
        <v>31931.608848907981</v>
      </c>
      <c r="BE23" s="17">
        <f t="shared" si="4"/>
        <v>32639.185628195664</v>
      </c>
      <c r="BF23" s="17">
        <f t="shared" si="4"/>
        <v>33351.503171904573</v>
      </c>
      <c r="BG23" s="17">
        <f t="shared" si="4"/>
        <v>34068.593243156334</v>
      </c>
      <c r="BH23" s="17">
        <f t="shared" si="4"/>
        <v>34790.487817885478</v>
      </c>
      <c r="BI23" s="17">
        <f t="shared" si="4"/>
        <v>35517.219086265308</v>
      </c>
      <c r="BJ23" s="17">
        <f t="shared" si="4"/>
        <v>36248.819454143282</v>
      </c>
      <c r="BK23" s="17">
        <f t="shared" si="4"/>
        <v>36985.32154448604</v>
      </c>
      <c r="BL23" s="17">
        <f t="shared" si="4"/>
        <v>37726.758198834097</v>
      </c>
      <c r="BM23" s="17">
        <f t="shared" si="4"/>
        <v>38473.16247876628</v>
      </c>
      <c r="BN23" s="17">
        <f t="shared" si="4"/>
        <v>39224.567667374009</v>
      </c>
      <c r="BO23" s="17">
        <f t="shared" si="4"/>
        <v>39981.007270745409</v>
      </c>
      <c r="BP23" s="17">
        <f t="shared" si="4"/>
        <v>40742.515019459403</v>
      </c>
    </row>
    <row r="24" spans="2:68" s="17" customFormat="1" ht="11.25" customHeight="1" x14ac:dyDescent="0.2">
      <c r="C24" s="17" t="s">
        <v>108</v>
      </c>
      <c r="D24" s="17">
        <v>500</v>
      </c>
      <c r="E24" s="17">
        <f>D24*(1+'Ass &amp; ScenarioAnalysis'!$C$20)</f>
        <v>503.34999999999997</v>
      </c>
      <c r="F24" s="17">
        <f>E24*(1+'Ass &amp; ScenarioAnalysis'!$C$20)</f>
        <v>506.72244499999994</v>
      </c>
      <c r="G24" s="17">
        <f>F24*(1+'Ass &amp; ScenarioAnalysis'!$C$20)</f>
        <v>510.11748538149988</v>
      </c>
      <c r="H24" s="17">
        <f>G24*(1+'Ass &amp; ScenarioAnalysis'!$C$20)</f>
        <v>513.53527253355594</v>
      </c>
      <c r="I24" s="17">
        <f>H24*(1+'Ass &amp; ScenarioAnalysis'!$C$20)</f>
        <v>516.97595885953069</v>
      </c>
      <c r="J24" s="17">
        <f>I24*(1+'Ass &amp; ScenarioAnalysis'!$C$20)</f>
        <v>520.43969778388953</v>
      </c>
      <c r="K24" s="17">
        <f>J24*(1+'Ass &amp; ScenarioAnalysis'!$C$20)</f>
        <v>523.92664375904155</v>
      </c>
      <c r="L24" s="17">
        <f>K24*(1+'Ass &amp; ScenarioAnalysis'!$C$20)</f>
        <v>527.43695227222713</v>
      </c>
      <c r="M24" s="17">
        <f>L24*(1+'Ass &amp; ScenarioAnalysis'!$C$20)</f>
        <v>530.97077985245096</v>
      </c>
      <c r="N24" s="17">
        <f>M24*(1+'Ass &amp; ScenarioAnalysis'!$C$20)</f>
        <v>534.52828407746233</v>
      </c>
      <c r="O24" s="17">
        <f>N24*(1+'Ass &amp; ScenarioAnalysis'!$C$20)</f>
        <v>538.10962358078132</v>
      </c>
      <c r="P24" s="17">
        <f>O24*(1+'Ass &amp; ScenarioAnalysis'!$C$20)</f>
        <v>541.71495805877248</v>
      </c>
      <c r="Q24" s="17">
        <f>P24*(1+'Ass &amp; ScenarioAnalysis'!$C$20)</f>
        <v>545.34444827776622</v>
      </c>
      <c r="R24" s="17">
        <f>Q24*(1+'Ass &amp; ScenarioAnalysis'!$C$20)</f>
        <v>548.99825608122717</v>
      </c>
      <c r="S24" s="17">
        <f>R24*(1+'Ass &amp; ScenarioAnalysis'!$C$20)</f>
        <v>552.67654439697139</v>
      </c>
      <c r="T24" s="17">
        <f>S24*(1+'Ass &amp; ScenarioAnalysis'!$C$20)</f>
        <v>556.37947724443109</v>
      </c>
      <c r="U24" s="17">
        <f>T24*(1+'Ass &amp; ScenarioAnalysis'!$C$20)</f>
        <v>560.10721974196872</v>
      </c>
      <c r="V24" s="17">
        <f>U24*(1+'Ass &amp; ScenarioAnalysis'!$C$20)</f>
        <v>563.85993811423987</v>
      </c>
      <c r="W24" s="17">
        <f>V24*(1+'Ass &amp; ScenarioAnalysis'!$C$20)</f>
        <v>567.63779969960524</v>
      </c>
      <c r="X24" s="17">
        <f>W24*(1+'Ass &amp; ScenarioAnalysis'!$C$20)</f>
        <v>571.44097295759252</v>
      </c>
      <c r="Y24" s="17">
        <f>X24*(1+'Ass &amp; ScenarioAnalysis'!$C$20)</f>
        <v>575.26962747640835</v>
      </c>
      <c r="Z24" s="17">
        <f>Y24*(1+'Ass &amp; ScenarioAnalysis'!$C$20)</f>
        <v>579.12393398050028</v>
      </c>
      <c r="AA24" s="17">
        <f>Z24*(1+'Ass &amp; ScenarioAnalysis'!$C$20)</f>
        <v>583.00406433816954</v>
      </c>
      <c r="AB24" s="17">
        <f>AA24*(1+'Ass &amp; ScenarioAnalysis'!$C$20)</f>
        <v>586.91019156923528</v>
      </c>
      <c r="AC24" s="17">
        <f>AB24*(1+'Ass &amp; ScenarioAnalysis'!$C$20)</f>
        <v>590.84248985274917</v>
      </c>
      <c r="AD24" s="17">
        <f>AC24*(1+'Ass &amp; ScenarioAnalysis'!$C$20)</f>
        <v>594.80113453476258</v>
      </c>
      <c r="AE24" s="17">
        <f>AD24*(1+'Ass &amp; ScenarioAnalysis'!$C$20)</f>
        <v>598.78630213614542</v>
      </c>
      <c r="AF24" s="17">
        <f>AE24*(1+'Ass &amp; ScenarioAnalysis'!$C$20)</f>
        <v>602.79817036045756</v>
      </c>
      <c r="AG24" s="17">
        <f>AF24*(1+'Ass &amp; ScenarioAnalysis'!$C$20)</f>
        <v>606.83691810187258</v>
      </c>
      <c r="AH24" s="17">
        <f>AG24*(1+'Ass &amp; ScenarioAnalysis'!$C$20)</f>
        <v>610.90272545315509</v>
      </c>
      <c r="AI24" s="17">
        <f>AH24*(1+'Ass &amp; ScenarioAnalysis'!$C$20)</f>
        <v>614.99577371369116</v>
      </c>
      <c r="AJ24" s="17">
        <f>AI24*(1+'Ass &amp; ScenarioAnalysis'!$C$20)</f>
        <v>619.11624539757281</v>
      </c>
      <c r="AK24" s="17">
        <f>AJ24*(1+'Ass &amp; ScenarioAnalysis'!$C$20)</f>
        <v>623.26432424173652</v>
      </c>
      <c r="AL24" s="17">
        <f>AK24*(1+'Ass &amp; ScenarioAnalysis'!$C$20)</f>
        <v>627.44019521415612</v>
      </c>
      <c r="AM24" s="17">
        <f>AL24*(1+'Ass &amp; ScenarioAnalysis'!$C$20)</f>
        <v>631.64404452209089</v>
      </c>
      <c r="AN24" s="17">
        <f>AM24*(1+'Ass &amp; ScenarioAnalysis'!$C$20)</f>
        <v>635.8760596203889</v>
      </c>
      <c r="AO24" s="17">
        <f>AN24*(1+'Ass &amp; ScenarioAnalysis'!$C$20)</f>
        <v>640.13642921984547</v>
      </c>
      <c r="AP24" s="17">
        <f>AO24*(1+'Ass &amp; ScenarioAnalysis'!$C$20)</f>
        <v>644.4253432956184</v>
      </c>
      <c r="AQ24" s="17">
        <f>AP24*(1+'Ass &amp; ScenarioAnalysis'!$C$20)</f>
        <v>648.74299309569903</v>
      </c>
      <c r="AR24" s="17">
        <f>AQ24*(1+'Ass &amp; ScenarioAnalysis'!$C$20)</f>
        <v>653.08957114944019</v>
      </c>
      <c r="AS24" s="17">
        <f>AR24*(1+'Ass &amp; ScenarioAnalysis'!$C$20)</f>
        <v>657.46527127614138</v>
      </c>
      <c r="AT24" s="17">
        <f>AS24*(1+'Ass &amp; ScenarioAnalysis'!$C$20)</f>
        <v>661.8702885936915</v>
      </c>
      <c r="AU24" s="17">
        <f>AT24*(1+'Ass &amp; ScenarioAnalysis'!$C$20)</f>
        <v>666.30481952726916</v>
      </c>
      <c r="AV24" s="17">
        <f>AU24*(1+'Ass &amp; ScenarioAnalysis'!$C$20)</f>
        <v>670.76906181810182</v>
      </c>
      <c r="AW24" s="17">
        <f>AV24*(1+'Ass &amp; ScenarioAnalysis'!$C$20)</f>
        <v>675.26321453228309</v>
      </c>
      <c r="AX24" s="17">
        <f>AW24*(1+'Ass &amp; ScenarioAnalysis'!$C$20)</f>
        <v>679.7874780696493</v>
      </c>
      <c r="AY24" s="17">
        <f>AX24*(1+'Ass &amp; ScenarioAnalysis'!$C$20)</f>
        <v>684.34205417271585</v>
      </c>
      <c r="AZ24" s="17">
        <f>AY24*(1+'Ass &amp; ScenarioAnalysis'!$C$20)</f>
        <v>688.92714593567302</v>
      </c>
      <c r="BA24" s="17">
        <f>AZ24*(1+'Ass &amp; ScenarioAnalysis'!$C$20)</f>
        <v>693.54295781344194</v>
      </c>
      <c r="BB24" s="17">
        <f>BA24*(1+'Ass &amp; ScenarioAnalysis'!$C$20)</f>
        <v>698.1896956307919</v>
      </c>
      <c r="BC24" s="17">
        <f>BB24*(1+'Ass &amp; ScenarioAnalysis'!$C$20)</f>
        <v>702.8675665915182</v>
      </c>
      <c r="BD24" s="17">
        <f>BC24*(1+'Ass &amp; ScenarioAnalysis'!$C$20)</f>
        <v>707.57677928768135</v>
      </c>
      <c r="BE24" s="17">
        <f>BD24*(1+'Ass &amp; ScenarioAnalysis'!$C$20)</f>
        <v>712.31754370890872</v>
      </c>
      <c r="BF24" s="17">
        <f>BE24*(1+'Ass &amp; ScenarioAnalysis'!$C$20)</f>
        <v>717.09007125175833</v>
      </c>
      <c r="BG24" s="17">
        <f>BF24*(1+'Ass &amp; ScenarioAnalysis'!$C$20)</f>
        <v>721.89457472914501</v>
      </c>
      <c r="BH24" s="17">
        <f>BG24*(1+'Ass &amp; ScenarioAnalysis'!$C$20)</f>
        <v>726.73126837983023</v>
      </c>
      <c r="BI24" s="17">
        <f>BH24*(1+'Ass &amp; ScenarioAnalysis'!$C$20)</f>
        <v>731.60036787797503</v>
      </c>
      <c r="BJ24" s="17">
        <f>BI24*(1+'Ass &amp; ScenarioAnalysis'!$C$20)</f>
        <v>736.50209034275736</v>
      </c>
      <c r="BK24" s="17">
        <f>BJ24*(1+'Ass &amp; ScenarioAnalysis'!$C$20)</f>
        <v>741.43665434805382</v>
      </c>
      <c r="BL24" s="17">
        <f>BK24*(1+'Ass &amp; ScenarioAnalysis'!$C$20)</f>
        <v>746.40427993218577</v>
      </c>
      <c r="BM24" s="17">
        <f>BL24*(1+'Ass &amp; ScenarioAnalysis'!$C$20)</f>
        <v>751.40518860773136</v>
      </c>
      <c r="BN24" s="17">
        <f>BM24*(1+'Ass &amp; ScenarioAnalysis'!$C$20)</f>
        <v>756.43960337140311</v>
      </c>
      <c r="BO24" s="17">
        <f>BN24*(1+'Ass &amp; ScenarioAnalysis'!$C$20)</f>
        <v>761.50774871399142</v>
      </c>
      <c r="BP24" s="17">
        <f>BO24*(1+'Ass &amp; ScenarioAnalysis'!$C$20)</f>
        <v>766.60985063037515</v>
      </c>
    </row>
    <row r="25" spans="2:68" s="17" customFormat="1" ht="11.25" customHeight="1" x14ac:dyDescent="0.2">
      <c r="C25" s="17" t="s">
        <v>113</v>
      </c>
      <c r="D25" s="17">
        <v>-50</v>
      </c>
      <c r="E25" s="17">
        <f>-E23*'Ass &amp; ScenarioAnalysis'!$C$21</f>
        <v>0</v>
      </c>
      <c r="F25" s="17">
        <f>-F23*'Ass &amp; ScenarioAnalysis'!$C$21</f>
        <v>0</v>
      </c>
      <c r="G25" s="17">
        <f>-G23*'Ass &amp; ScenarioAnalysis'!$C$21</f>
        <v>0</v>
      </c>
      <c r="H25" s="17">
        <f>-H23*'Ass &amp; ScenarioAnalysis'!$C$21</f>
        <v>0</v>
      </c>
      <c r="I25" s="17">
        <f>-I23*'Ass &amp; ScenarioAnalysis'!$C$21</f>
        <v>0</v>
      </c>
      <c r="J25" s="17">
        <f>-J23*'Ass &amp; ScenarioAnalysis'!$C$21</f>
        <v>0</v>
      </c>
      <c r="K25" s="17">
        <f>-K23*'Ass &amp; ScenarioAnalysis'!$C$21</f>
        <v>0</v>
      </c>
      <c r="L25" s="17">
        <f>-L23*'Ass &amp; ScenarioAnalysis'!$C$21</f>
        <v>0</v>
      </c>
      <c r="M25" s="17">
        <f>-M23*'Ass &amp; ScenarioAnalysis'!$C$21</f>
        <v>0</v>
      </c>
      <c r="N25" s="17">
        <f>-N23*'Ass &amp; ScenarioAnalysis'!$C$21</f>
        <v>0</v>
      </c>
      <c r="O25" s="17">
        <f>-O23*'Ass &amp; ScenarioAnalysis'!$C$21</f>
        <v>0</v>
      </c>
      <c r="P25" s="17">
        <f>-P23*'Ass &amp; ScenarioAnalysis'!$C$21</f>
        <v>0</v>
      </c>
      <c r="Q25" s="17">
        <f>-Q23*'Ass &amp; ScenarioAnalysis'!$C$21</f>
        <v>0</v>
      </c>
      <c r="R25" s="17">
        <f>-R23*'Ass &amp; ScenarioAnalysis'!$C$21</f>
        <v>0</v>
      </c>
      <c r="S25" s="17">
        <f>-S23*'Ass &amp; ScenarioAnalysis'!$C$21</f>
        <v>0</v>
      </c>
      <c r="T25" s="17">
        <f>-T23*'Ass &amp; ScenarioAnalysis'!$C$21</f>
        <v>0</v>
      </c>
      <c r="U25" s="17">
        <f>-U23*'Ass &amp; ScenarioAnalysis'!$C$21</f>
        <v>0</v>
      </c>
      <c r="V25" s="17">
        <f>-V23*'Ass &amp; ScenarioAnalysis'!$C$21</f>
        <v>0</v>
      </c>
      <c r="W25" s="17">
        <f>-W23*'Ass &amp; ScenarioAnalysis'!$C$21</f>
        <v>0</v>
      </c>
      <c r="X25" s="17">
        <f>-X23*'Ass &amp; ScenarioAnalysis'!$C$21</f>
        <v>0</v>
      </c>
      <c r="Y25" s="17">
        <f>-Y23*'Ass &amp; ScenarioAnalysis'!$C$21</f>
        <v>0</v>
      </c>
      <c r="Z25" s="17">
        <f>-Z23*'Ass &amp; ScenarioAnalysis'!$C$21</f>
        <v>0</v>
      </c>
      <c r="AA25" s="17">
        <f>-AA23*'Ass &amp; ScenarioAnalysis'!$C$21</f>
        <v>0</v>
      </c>
      <c r="AB25" s="17">
        <f>-AB23*'Ass &amp; ScenarioAnalysis'!$C$21</f>
        <v>0</v>
      </c>
      <c r="AC25" s="17">
        <f>-AC23*'Ass &amp; ScenarioAnalysis'!$C$21</f>
        <v>0</v>
      </c>
      <c r="AD25" s="17">
        <f>-AD23*'Ass &amp; ScenarioAnalysis'!$C$21</f>
        <v>0</v>
      </c>
      <c r="AE25" s="17">
        <f>-AE23*'Ass &amp; ScenarioAnalysis'!$C$21</f>
        <v>0</v>
      </c>
      <c r="AF25" s="17">
        <f>-AF23*'Ass &amp; ScenarioAnalysis'!$C$21</f>
        <v>0</v>
      </c>
      <c r="AG25" s="17">
        <f>-AG23*'Ass &amp; ScenarioAnalysis'!$C$21</f>
        <v>0</v>
      </c>
      <c r="AH25" s="17">
        <f>-AH23*'Ass &amp; ScenarioAnalysis'!$C$21</f>
        <v>0</v>
      </c>
      <c r="AI25" s="17">
        <f>-AI23*'Ass &amp; ScenarioAnalysis'!$C$21</f>
        <v>0</v>
      </c>
      <c r="AJ25" s="17">
        <f>-AJ23*'Ass &amp; ScenarioAnalysis'!$C$21</f>
        <v>0</v>
      </c>
      <c r="AK25" s="17">
        <f>-AK23*'Ass &amp; ScenarioAnalysis'!$C$21</f>
        <v>0</v>
      </c>
      <c r="AL25" s="17">
        <f>-AL23*'Ass &amp; ScenarioAnalysis'!$C$21</f>
        <v>0</v>
      </c>
      <c r="AM25" s="17">
        <f>-AM23*'Ass &amp; ScenarioAnalysis'!$C$21</f>
        <v>0</v>
      </c>
      <c r="AN25" s="17">
        <f>-AN23*'Ass &amp; ScenarioAnalysis'!$C$21</f>
        <v>0</v>
      </c>
      <c r="AO25" s="17">
        <f>-AO23*'Ass &amp; ScenarioAnalysis'!$C$21</f>
        <v>0</v>
      </c>
      <c r="AP25" s="17">
        <f>-AP23*'Ass &amp; ScenarioAnalysis'!$C$21</f>
        <v>0</v>
      </c>
      <c r="AQ25" s="17">
        <f>-AQ23*'Ass &amp; ScenarioAnalysis'!$C$21</f>
        <v>0</v>
      </c>
      <c r="AR25" s="17">
        <f>-AR23*'Ass &amp; ScenarioAnalysis'!$C$21</f>
        <v>0</v>
      </c>
      <c r="AS25" s="17">
        <f>-AS23*'Ass &amp; ScenarioAnalysis'!$C$21</f>
        <v>0</v>
      </c>
      <c r="AT25" s="17">
        <f>-AT23*'Ass &amp; ScenarioAnalysis'!$C$21</f>
        <v>0</v>
      </c>
      <c r="AU25" s="17">
        <f>-AU23*'Ass &amp; ScenarioAnalysis'!$C$21</f>
        <v>0</v>
      </c>
      <c r="AV25" s="17">
        <f>-AV23*'Ass &amp; ScenarioAnalysis'!$C$21</f>
        <v>0</v>
      </c>
      <c r="AW25" s="17">
        <f>-AW23*'Ass &amp; ScenarioAnalysis'!$C$21</f>
        <v>0</v>
      </c>
      <c r="AX25" s="17">
        <f>-AX23*'Ass &amp; ScenarioAnalysis'!$C$21</f>
        <v>0</v>
      </c>
      <c r="AY25" s="17">
        <f>-AY23*'Ass &amp; ScenarioAnalysis'!$C$21</f>
        <v>0</v>
      </c>
      <c r="AZ25" s="17">
        <f>-AZ23*'Ass &amp; ScenarioAnalysis'!$C$21</f>
        <v>0</v>
      </c>
      <c r="BA25" s="17">
        <f>-BA23*'Ass &amp; ScenarioAnalysis'!$C$21</f>
        <v>0</v>
      </c>
      <c r="BB25" s="17">
        <f>-BB23*'Ass &amp; ScenarioAnalysis'!$C$21</f>
        <v>0</v>
      </c>
      <c r="BC25" s="17">
        <f>-BC23*'Ass &amp; ScenarioAnalysis'!$C$21</f>
        <v>0</v>
      </c>
      <c r="BD25" s="17">
        <f>-BD23*'Ass &amp; ScenarioAnalysis'!$C$21</f>
        <v>0</v>
      </c>
      <c r="BE25" s="17">
        <f>-BE23*'Ass &amp; ScenarioAnalysis'!$C$21</f>
        <v>0</v>
      </c>
      <c r="BF25" s="17">
        <f>-BF23*'Ass &amp; ScenarioAnalysis'!$C$21</f>
        <v>0</v>
      </c>
      <c r="BG25" s="17">
        <f>-BG23*'Ass &amp; ScenarioAnalysis'!$C$21</f>
        <v>0</v>
      </c>
      <c r="BH25" s="17">
        <f>-BH23*'Ass &amp; ScenarioAnalysis'!$C$21</f>
        <v>0</v>
      </c>
      <c r="BI25" s="17">
        <f>-BI23*'Ass &amp; ScenarioAnalysis'!$C$21</f>
        <v>0</v>
      </c>
      <c r="BJ25" s="17">
        <f>-BJ23*'Ass &amp; ScenarioAnalysis'!$C$21</f>
        <v>0</v>
      </c>
      <c r="BK25" s="17">
        <f>-BK23*'Ass &amp; ScenarioAnalysis'!$C$21</f>
        <v>0</v>
      </c>
      <c r="BL25" s="17">
        <f>-BL23*'Ass &amp; ScenarioAnalysis'!$C$21</f>
        <v>0</v>
      </c>
      <c r="BM25" s="17">
        <f>-BM23*'Ass &amp; ScenarioAnalysis'!$C$21</f>
        <v>0</v>
      </c>
      <c r="BN25" s="17">
        <f>-BN23*'Ass &amp; ScenarioAnalysis'!$C$21</f>
        <v>0</v>
      </c>
      <c r="BO25" s="17">
        <f>-BO23*'Ass &amp; ScenarioAnalysis'!$C$21</f>
        <v>0</v>
      </c>
      <c r="BP25" s="17">
        <f>-BP23*'Ass &amp; ScenarioAnalysis'!$C$21</f>
        <v>0</v>
      </c>
    </row>
    <row r="26" spans="2:68" s="17" customFormat="1" ht="11.25" customHeight="1" x14ac:dyDescent="0.2">
      <c r="C26" s="17" t="s">
        <v>115</v>
      </c>
      <c r="D26" s="17">
        <f>SUM(D23:D25)</f>
        <v>1450</v>
      </c>
      <c r="E26" s="17">
        <f>SUM(E23:E25)</f>
        <v>1953.35</v>
      </c>
      <c r="F26" s="17">
        <f t="shared" ref="F26:BP26" si="5">SUM(F23:F25)</f>
        <v>2460.0724449999998</v>
      </c>
      <c r="G26" s="17">
        <f t="shared" si="5"/>
        <v>2970.1899303814998</v>
      </c>
      <c r="H26" s="17">
        <f t="shared" si="5"/>
        <v>3483.7252029150559</v>
      </c>
      <c r="I26" s="17">
        <f t="shared" si="5"/>
        <v>4000.7011617745866</v>
      </c>
      <c r="J26" s="17">
        <f t="shared" si="5"/>
        <v>4521.1408595584762</v>
      </c>
      <c r="K26" s="17">
        <f t="shared" si="5"/>
        <v>5045.0675033175175</v>
      </c>
      <c r="L26" s="17">
        <f t="shared" si="5"/>
        <v>5572.5044555897448</v>
      </c>
      <c r="M26" s="17">
        <f t="shared" si="5"/>
        <v>6103.4752354421962</v>
      </c>
      <c r="N26" s="17">
        <f t="shared" si="5"/>
        <v>6638.0035195196588</v>
      </c>
      <c r="O26" s="17">
        <f t="shared" si="5"/>
        <v>7176.1131431004396</v>
      </c>
      <c r="P26" s="17">
        <f t="shared" si="5"/>
        <v>7717.8281011592117</v>
      </c>
      <c r="Q26" s="17">
        <f t="shared" si="5"/>
        <v>8263.1725494369784</v>
      </c>
      <c r="R26" s="17">
        <f t="shared" si="5"/>
        <v>8812.1708055182062</v>
      </c>
      <c r="S26" s="17">
        <f t="shared" si="5"/>
        <v>9364.8473499151769</v>
      </c>
      <c r="T26" s="17">
        <f t="shared" si="5"/>
        <v>9921.2268271596076</v>
      </c>
      <c r="U26" s="17">
        <f t="shared" si="5"/>
        <v>10481.334046901577</v>
      </c>
      <c r="V26" s="17">
        <f t="shared" si="5"/>
        <v>11045.193985015816</v>
      </c>
      <c r="W26" s="17">
        <f t="shared" si="5"/>
        <v>11612.831784715421</v>
      </c>
      <c r="X26" s="17">
        <f t="shared" si="5"/>
        <v>12184.272757673014</v>
      </c>
      <c r="Y26" s="17">
        <f t="shared" si="5"/>
        <v>12759.542385149422</v>
      </c>
      <c r="Z26" s="17">
        <f t="shared" si="5"/>
        <v>13338.666319129921</v>
      </c>
      <c r="AA26" s="17">
        <f t="shared" si="5"/>
        <v>13921.67038346809</v>
      </c>
      <c r="AB26" s="17">
        <f t="shared" si="5"/>
        <v>14508.580575037326</v>
      </c>
      <c r="AC26" s="17">
        <f t="shared" si="5"/>
        <v>15099.423064890074</v>
      </c>
      <c r="AD26" s="17">
        <f t="shared" si="5"/>
        <v>15694.224199424836</v>
      </c>
      <c r="AE26" s="17">
        <f t="shared" si="5"/>
        <v>16293.010501560981</v>
      </c>
      <c r="AF26" s="17">
        <f t="shared" si="5"/>
        <v>16895.808671921437</v>
      </c>
      <c r="AG26" s="17">
        <f t="shared" si="5"/>
        <v>17502.645590023309</v>
      </c>
      <c r="AH26" s="17">
        <f t="shared" si="5"/>
        <v>18113.548315476462</v>
      </c>
      <c r="AI26" s="17">
        <f t="shared" si="5"/>
        <v>18728.544089190153</v>
      </c>
      <c r="AJ26" s="17">
        <f t="shared" si="5"/>
        <v>19347.660334587727</v>
      </c>
      <c r="AK26" s="17">
        <f t="shared" si="5"/>
        <v>19970.924658829463</v>
      </c>
      <c r="AL26" s="17">
        <f t="shared" si="5"/>
        <v>20598.364854043619</v>
      </c>
      <c r="AM26" s="17">
        <f t="shared" si="5"/>
        <v>21230.008898565709</v>
      </c>
      <c r="AN26" s="17">
        <f t="shared" si="5"/>
        <v>21865.8849581861</v>
      </c>
      <c r="AO26" s="17">
        <f t="shared" si="5"/>
        <v>22506.021387405945</v>
      </c>
      <c r="AP26" s="17">
        <f t="shared" si="5"/>
        <v>23150.446730701562</v>
      </c>
      <c r="AQ26" s="17">
        <f t="shared" si="5"/>
        <v>23799.189723797263</v>
      </c>
      <c r="AR26" s="17">
        <f t="shared" si="5"/>
        <v>24452.279294946704</v>
      </c>
      <c r="AS26" s="17">
        <f t="shared" si="5"/>
        <v>25109.744566222846</v>
      </c>
      <c r="AT26" s="17">
        <f t="shared" si="5"/>
        <v>25771.614854816537</v>
      </c>
      <c r="AU26" s="17">
        <f t="shared" si="5"/>
        <v>26437.919674343804</v>
      </c>
      <c r="AV26" s="17">
        <f t="shared" si="5"/>
        <v>27108.688736161905</v>
      </c>
      <c r="AW26" s="17">
        <f t="shared" si="5"/>
        <v>27783.951950694187</v>
      </c>
      <c r="AX26" s="17">
        <f t="shared" si="5"/>
        <v>28463.739428763838</v>
      </c>
      <c r="AY26" s="17">
        <f t="shared" si="5"/>
        <v>29148.081482936555</v>
      </c>
      <c r="AZ26" s="17">
        <f t="shared" si="5"/>
        <v>29837.008628872227</v>
      </c>
      <c r="BA26" s="17">
        <f t="shared" si="5"/>
        <v>30530.551586685669</v>
      </c>
      <c r="BB26" s="17">
        <f t="shared" si="5"/>
        <v>31228.741282316463</v>
      </c>
      <c r="BC26" s="17">
        <f t="shared" si="5"/>
        <v>31931.608848907981</v>
      </c>
      <c r="BD26" s="17">
        <f t="shared" si="5"/>
        <v>32639.185628195664</v>
      </c>
      <c r="BE26" s="17">
        <f t="shared" si="5"/>
        <v>33351.503171904573</v>
      </c>
      <c r="BF26" s="17">
        <f t="shared" si="5"/>
        <v>34068.593243156334</v>
      </c>
      <c r="BG26" s="17">
        <f t="shared" si="5"/>
        <v>34790.487817885478</v>
      </c>
      <c r="BH26" s="17">
        <f t="shared" si="5"/>
        <v>35517.219086265308</v>
      </c>
      <c r="BI26" s="17">
        <f t="shared" si="5"/>
        <v>36248.819454143282</v>
      </c>
      <c r="BJ26" s="17">
        <f t="shared" si="5"/>
        <v>36985.32154448604</v>
      </c>
      <c r="BK26" s="17">
        <f t="shared" si="5"/>
        <v>37726.758198834097</v>
      </c>
      <c r="BL26" s="17">
        <f t="shared" si="5"/>
        <v>38473.16247876628</v>
      </c>
      <c r="BM26" s="17">
        <f t="shared" si="5"/>
        <v>39224.567667374009</v>
      </c>
      <c r="BN26" s="17">
        <f t="shared" si="5"/>
        <v>39981.007270745409</v>
      </c>
      <c r="BO26" s="17">
        <f t="shared" si="5"/>
        <v>40742.515019459403</v>
      </c>
      <c r="BP26" s="17">
        <f t="shared" si="5"/>
        <v>41509.124870089778</v>
      </c>
    </row>
    <row r="27" spans="2:68" s="17" customFormat="1" ht="11.25" customHeight="1" x14ac:dyDescent="0.2">
      <c r="C27" s="17" t="s">
        <v>100</v>
      </c>
    </row>
    <row r="28" spans="2:68" s="17" customFormat="1" ht="11.25" customHeight="1" x14ac:dyDescent="0.2">
      <c r="C28" s="17" t="s">
        <v>2</v>
      </c>
      <c r="D28" s="17">
        <f>ROUND(D26*'Ass &amp; ScenarioAnalysis'!$C$19, -3)</f>
        <v>58000</v>
      </c>
      <c r="E28" s="17">
        <f>ROUND(E26*'Ass &amp; ScenarioAnalysis'!$C$19, -3)</f>
        <v>78000</v>
      </c>
      <c r="F28" s="17">
        <f>ROUND(F26*'Ass &amp; ScenarioAnalysis'!$C$19, -3)</f>
        <v>98000</v>
      </c>
      <c r="G28" s="17">
        <f>ROUND(G26*'Ass &amp; ScenarioAnalysis'!$C$19, -3)</f>
        <v>119000</v>
      </c>
      <c r="H28" s="17">
        <f>ROUND(H26*'Ass &amp; ScenarioAnalysis'!$C$19, -3)</f>
        <v>139000</v>
      </c>
      <c r="I28" s="17">
        <f>ROUND(I26*'Ass &amp; ScenarioAnalysis'!$C$19, -3)</f>
        <v>160000</v>
      </c>
      <c r="J28" s="17">
        <f>ROUND(J26*'Ass &amp; ScenarioAnalysis'!$C$19, -3)</f>
        <v>181000</v>
      </c>
      <c r="K28" s="17">
        <f>ROUND(K26*'Ass &amp; ScenarioAnalysis'!$C$19, -3)</f>
        <v>202000</v>
      </c>
      <c r="L28" s="17">
        <f>ROUND(L26*'Ass &amp; ScenarioAnalysis'!$C$19, -3)</f>
        <v>223000</v>
      </c>
      <c r="M28" s="17">
        <f>ROUND(M26*'Ass &amp; ScenarioAnalysis'!$C$19, -3)</f>
        <v>244000</v>
      </c>
      <c r="N28" s="17">
        <f>ROUND(N26*'Ass &amp; ScenarioAnalysis'!$C$19, -3)</f>
        <v>266000</v>
      </c>
      <c r="O28" s="17">
        <f>ROUND(O26*'Ass &amp; ScenarioAnalysis'!$C$19, -3)</f>
        <v>287000</v>
      </c>
      <c r="P28" s="17">
        <f>ROUND(P26*'Ass &amp; ScenarioAnalysis'!$C$19, -3)</f>
        <v>309000</v>
      </c>
      <c r="Q28" s="17">
        <f>ROUND(Q26*'Ass &amp; ScenarioAnalysis'!$C$19, -3)</f>
        <v>331000</v>
      </c>
      <c r="R28" s="17">
        <f>ROUND(R26*'Ass &amp; ScenarioAnalysis'!$C$19, -3)</f>
        <v>352000</v>
      </c>
      <c r="S28" s="17">
        <f>ROUND(S26*'Ass &amp; ScenarioAnalysis'!$C$19, -3)</f>
        <v>375000</v>
      </c>
      <c r="T28" s="17">
        <f>ROUND(T26*'Ass &amp; ScenarioAnalysis'!$C$19, -3)</f>
        <v>397000</v>
      </c>
      <c r="U28" s="17">
        <f>ROUND(U26*'Ass &amp; ScenarioAnalysis'!$C$19, -3)</f>
        <v>419000</v>
      </c>
      <c r="V28" s="17">
        <f>ROUND(V26*'Ass &amp; ScenarioAnalysis'!$C$19, -3)</f>
        <v>442000</v>
      </c>
      <c r="W28" s="17">
        <f>ROUND(W26*'Ass &amp; ScenarioAnalysis'!$C$19, -3)</f>
        <v>465000</v>
      </c>
      <c r="X28" s="17">
        <f>ROUND(X26*'Ass &amp; ScenarioAnalysis'!$C$19, -3)</f>
        <v>487000</v>
      </c>
      <c r="Y28" s="17">
        <f>ROUND(Y26*'Ass &amp; ScenarioAnalysis'!$C$19, -3)</f>
        <v>510000</v>
      </c>
      <c r="Z28" s="17">
        <f>ROUND(Z26*'Ass &amp; ScenarioAnalysis'!$C$19, -3)</f>
        <v>534000</v>
      </c>
      <c r="AA28" s="17">
        <f>ROUND(AA26*'Ass &amp; ScenarioAnalysis'!$C$19, -3)</f>
        <v>557000</v>
      </c>
      <c r="AB28" s="17">
        <f>ROUND(AB26*'Ass &amp; ScenarioAnalysis'!$C$19, -3)</f>
        <v>580000</v>
      </c>
      <c r="AC28" s="17">
        <f>ROUND(AC26*'Ass &amp; ScenarioAnalysis'!$C$19, -3)</f>
        <v>604000</v>
      </c>
      <c r="AD28" s="17">
        <f>ROUND(AD26*'Ass &amp; ScenarioAnalysis'!$C$19, -3)</f>
        <v>628000</v>
      </c>
      <c r="AE28" s="17">
        <f>ROUND(AE26*'Ass &amp; ScenarioAnalysis'!$C$19, -3)</f>
        <v>652000</v>
      </c>
      <c r="AF28" s="17">
        <f>ROUND(AF26*'Ass &amp; ScenarioAnalysis'!$C$19, -3)</f>
        <v>676000</v>
      </c>
      <c r="AG28" s="17">
        <f>ROUND(AG26*'Ass &amp; ScenarioAnalysis'!$C$19, -3)</f>
        <v>700000</v>
      </c>
      <c r="AH28" s="17">
        <f>ROUND(AH26*'Ass &amp; ScenarioAnalysis'!$C$19, -3)</f>
        <v>725000</v>
      </c>
      <c r="AI28" s="17">
        <f>ROUND(AI26*'Ass &amp; ScenarioAnalysis'!$C$19, -3)</f>
        <v>749000</v>
      </c>
      <c r="AJ28" s="17">
        <f>ROUND(AJ26*'Ass &amp; ScenarioAnalysis'!$C$19, -3)</f>
        <v>774000</v>
      </c>
      <c r="AK28" s="17">
        <f>ROUND(AK26*'Ass &amp; ScenarioAnalysis'!$C$19, -3)</f>
        <v>799000</v>
      </c>
      <c r="AL28" s="17">
        <f>ROUND(AL26*'Ass &amp; ScenarioAnalysis'!$C$19, -3)</f>
        <v>824000</v>
      </c>
      <c r="AM28" s="17">
        <f>ROUND(AM26*'Ass &amp; ScenarioAnalysis'!$C$19, -3)</f>
        <v>849000</v>
      </c>
      <c r="AN28" s="17">
        <f>ROUND(AN26*'Ass &amp; ScenarioAnalysis'!$C$19, -3)</f>
        <v>875000</v>
      </c>
      <c r="AO28" s="17">
        <f>ROUND(AO26*'Ass &amp; ScenarioAnalysis'!$C$19, -3)</f>
        <v>900000</v>
      </c>
      <c r="AP28" s="17">
        <f>ROUND(AP26*'Ass &amp; ScenarioAnalysis'!$C$19, -3)</f>
        <v>926000</v>
      </c>
      <c r="AQ28" s="17">
        <f>ROUND(AQ26*'Ass &amp; ScenarioAnalysis'!$C$19, -3)</f>
        <v>952000</v>
      </c>
      <c r="AR28" s="17">
        <f>ROUND(AR26*'Ass &amp; ScenarioAnalysis'!$C$19, -3)</f>
        <v>978000</v>
      </c>
      <c r="AS28" s="17">
        <f>ROUND(AS26*'Ass &amp; ScenarioAnalysis'!$C$19, -3)</f>
        <v>1004000</v>
      </c>
      <c r="AT28" s="17">
        <f>ROUND(AT26*'Ass &amp; ScenarioAnalysis'!$C$19, -3)</f>
        <v>1031000</v>
      </c>
      <c r="AU28" s="17">
        <f>ROUND(AU26*'Ass &amp; ScenarioAnalysis'!$C$19, -3)</f>
        <v>1058000</v>
      </c>
      <c r="AV28" s="17">
        <f>ROUND(AV26*'Ass &amp; ScenarioAnalysis'!$C$19, -3)</f>
        <v>1084000</v>
      </c>
      <c r="AW28" s="17">
        <f>ROUND(AW26*'Ass &amp; ScenarioAnalysis'!$C$19, -3)</f>
        <v>1111000</v>
      </c>
      <c r="AX28" s="17">
        <f>ROUND(AX26*'Ass &amp; ScenarioAnalysis'!$C$19, -3)</f>
        <v>1139000</v>
      </c>
      <c r="AY28" s="17">
        <f>ROUND(AY26*'Ass &amp; ScenarioAnalysis'!$C$19, -3)</f>
        <v>1166000</v>
      </c>
      <c r="AZ28" s="17">
        <f>ROUND(AZ26*'Ass &amp; ScenarioAnalysis'!$C$19, -3)</f>
        <v>1193000</v>
      </c>
      <c r="BA28" s="17">
        <f>ROUND(BA26*'Ass &amp; ScenarioAnalysis'!$C$19, -3)</f>
        <v>1221000</v>
      </c>
      <c r="BB28" s="17">
        <f>ROUND(BB26*'Ass &amp; ScenarioAnalysis'!$C$19, -3)</f>
        <v>1249000</v>
      </c>
      <c r="BC28" s="17">
        <f>ROUND(BC26*'Ass &amp; ScenarioAnalysis'!$C$19, -3)</f>
        <v>1277000</v>
      </c>
      <c r="BD28" s="17">
        <f>ROUND(BD26*'Ass &amp; ScenarioAnalysis'!$C$19, -3)</f>
        <v>1306000</v>
      </c>
      <c r="BE28" s="17">
        <f>ROUND(BE26*'Ass &amp; ScenarioAnalysis'!$C$19, -3)</f>
        <v>1334000</v>
      </c>
      <c r="BF28" s="17">
        <f>ROUND(BF26*'Ass &amp; ScenarioAnalysis'!$C$19, -3)</f>
        <v>1363000</v>
      </c>
      <c r="BG28" s="17">
        <f>ROUND(BG26*'Ass &amp; ScenarioAnalysis'!$C$19, -3)</f>
        <v>1392000</v>
      </c>
      <c r="BH28" s="17">
        <f>ROUND(BH26*'Ass &amp; ScenarioAnalysis'!$C$19, -3)</f>
        <v>1421000</v>
      </c>
      <c r="BI28" s="17">
        <f>ROUND(BI26*'Ass &amp; ScenarioAnalysis'!$C$19, -3)</f>
        <v>1450000</v>
      </c>
      <c r="BJ28" s="17">
        <f>ROUND(BJ26*'Ass &amp; ScenarioAnalysis'!$C$19, -3)</f>
        <v>1479000</v>
      </c>
      <c r="BK28" s="17">
        <f>ROUND(BK26*'Ass &amp; ScenarioAnalysis'!$C$19, -3)</f>
        <v>1509000</v>
      </c>
      <c r="BL28" s="17">
        <f>ROUND(BL26*'Ass &amp; ScenarioAnalysis'!$C$19, -3)</f>
        <v>1539000</v>
      </c>
      <c r="BM28" s="17">
        <f>ROUND(BM26*'Ass &amp; ScenarioAnalysis'!$C$19, -3)</f>
        <v>1569000</v>
      </c>
      <c r="BN28" s="17">
        <f>ROUND(BN26*'Ass &amp; ScenarioAnalysis'!$C$19, -3)</f>
        <v>1599000</v>
      </c>
      <c r="BO28" s="17">
        <f>ROUND(BO26*'Ass &amp; ScenarioAnalysis'!$C$19, -3)</f>
        <v>1630000</v>
      </c>
      <c r="BP28" s="17">
        <f>ROUND(BP26*'Ass &amp; ScenarioAnalysis'!$C$19, -3)</f>
        <v>1660000</v>
      </c>
    </row>
    <row r="31" spans="2:68" ht="11.25" customHeight="1" x14ac:dyDescent="0.2">
      <c r="B31" s="18" t="s">
        <v>14</v>
      </c>
    </row>
    <row r="32" spans="2:68" ht="11.25" customHeight="1" x14ac:dyDescent="0.2">
      <c r="C32" s="5" t="s">
        <v>160</v>
      </c>
    </row>
    <row r="33" spans="2:8" ht="11.25" customHeight="1" x14ac:dyDescent="0.2">
      <c r="C33" s="5" t="s">
        <v>161</v>
      </c>
    </row>
    <row r="36" spans="2:8" ht="11.25" customHeight="1" x14ac:dyDescent="0.2">
      <c r="B36" s="18" t="s">
        <v>162</v>
      </c>
    </row>
    <row r="37" spans="2:8" ht="11.25" customHeight="1" x14ac:dyDescent="0.2">
      <c r="B37" s="18"/>
    </row>
    <row r="38" spans="2:8" ht="11.25" customHeight="1" x14ac:dyDescent="0.2">
      <c r="B38" s="18"/>
    </row>
    <row r="39" spans="2:8" ht="11.25" customHeight="1" x14ac:dyDescent="0.2">
      <c r="B39" s="18"/>
    </row>
    <row r="40" spans="2:8" ht="11.25" customHeight="1" x14ac:dyDescent="0.2">
      <c r="B40" s="18"/>
    </row>
    <row r="43" spans="2:8" ht="11.25" customHeight="1" x14ac:dyDescent="0.2">
      <c r="B43" s="18" t="s">
        <v>163</v>
      </c>
    </row>
    <row r="44" spans="2:8" ht="11.25" customHeight="1" x14ac:dyDescent="0.2">
      <c r="D44" s="149" t="s">
        <v>122</v>
      </c>
      <c r="E44" s="149" t="s">
        <v>123</v>
      </c>
      <c r="F44" s="149" t="s">
        <v>124</v>
      </c>
      <c r="G44" s="149" t="s">
        <v>125</v>
      </c>
      <c r="H44" s="149" t="s">
        <v>126</v>
      </c>
    </row>
    <row r="45" spans="2:8" ht="11.25" customHeight="1" x14ac:dyDescent="0.2">
      <c r="C45" s="5" t="str">
        <f>B6</f>
        <v>Direct Cost of cards</v>
      </c>
      <c r="D45" s="15">
        <f>ROUND(SUM(H10:S10), -3)</f>
        <v>60832000</v>
      </c>
      <c r="E45" s="15">
        <f>ROUND(SUM(T10:AE10),-3)</f>
        <v>62682000</v>
      </c>
      <c r="F45" s="15">
        <f>ROUND(SUM(AF10:AQ10), -3)</f>
        <v>64589000</v>
      </c>
      <c r="G45" s="15">
        <f>ROUND(SUM(AR10:BC10), -3)</f>
        <v>66553000</v>
      </c>
      <c r="H45" s="15">
        <f>ROUND(SUM(BD10:BO10), -3)</f>
        <v>68578000</v>
      </c>
    </row>
    <row r="46" spans="2:8" ht="11.25" customHeight="1" x14ac:dyDescent="0.2">
      <c r="C46" s="5" t="str">
        <f>B16</f>
        <v>Staff Costs</v>
      </c>
      <c r="D46" s="15">
        <f>ROUND(SUM(H19:S19), -3)</f>
        <v>45000000</v>
      </c>
      <c r="E46" s="15">
        <f>ROUND(D46*(1+'Ass &amp; ScenarioAnalysis'!$C$37), -3)</f>
        <v>47250000</v>
      </c>
      <c r="F46" s="15">
        <f>ROUND(E46*(1+'Ass &amp; ScenarioAnalysis'!$C$37), -3)</f>
        <v>49613000</v>
      </c>
      <c r="G46" s="15">
        <f>ROUND(F46*(1+'Ass &amp; ScenarioAnalysis'!$C$37), -3)</f>
        <v>52094000</v>
      </c>
      <c r="H46" s="15">
        <f>ROUND(G46*(1+'Ass &amp; ScenarioAnalysis'!$C$37), -3)</f>
        <v>54699000</v>
      </c>
    </row>
    <row r="47" spans="2:8" ht="11.25" customHeight="1" x14ac:dyDescent="0.2">
      <c r="C47" s="5" t="str">
        <f>B22</f>
        <v>Marketing Expenses</v>
      </c>
      <c r="D47" s="15">
        <f>ROUND(SUM(H28:S28), -3)</f>
        <v>3069000</v>
      </c>
      <c r="E47" s="15">
        <f>ROUND(SUM(T28:AE28),-3)</f>
        <v>6275000</v>
      </c>
      <c r="F47" s="15">
        <f>ROUND(SUM(AF28:AQ28), -3)</f>
        <v>9749000</v>
      </c>
      <c r="G47" s="15">
        <f>ROUND(SUM(AR28:BC28), -3)</f>
        <v>13511000</v>
      </c>
      <c r="H47" s="15">
        <f>ROUND(SUM(BD28:BO28), -3)</f>
        <v>17591000</v>
      </c>
    </row>
    <row r="48" spans="2:8" ht="11.25" customHeight="1" x14ac:dyDescent="0.2">
      <c r="C48" s="5" t="str">
        <f>B31</f>
        <v>Insurance</v>
      </c>
      <c r="D48" s="15">
        <f>'Ass &amp; ScenarioAnalysis'!C45</f>
        <v>150000</v>
      </c>
      <c r="E48" s="15">
        <f>ROUND(D48*(1+'Ass &amp; ScenarioAnalysis'!$C$46), -3)</f>
        <v>153000</v>
      </c>
      <c r="F48" s="15">
        <f>ROUND(E48*(1+'Ass &amp; ScenarioAnalysis'!$C$46), -3)</f>
        <v>156000</v>
      </c>
      <c r="G48" s="15">
        <f>ROUND(F48*(1+'Ass &amp; ScenarioAnalysis'!$C$46), -3)</f>
        <v>159000</v>
      </c>
      <c r="H48" s="15">
        <f>ROUND(G48*(1+'Ass &amp; ScenarioAnalysis'!$C$46), -3)</f>
        <v>162000</v>
      </c>
    </row>
    <row r="49" spans="3:8" ht="11.25" customHeight="1" x14ac:dyDescent="0.2">
      <c r="C49" s="5" t="s">
        <v>11</v>
      </c>
      <c r="D49" s="15">
        <f>'Ass &amp; ScenarioAnalysis'!C42</f>
        <v>7200000</v>
      </c>
      <c r="E49" s="15">
        <f>ROUND(D49*(1+'Ass &amp; ScenarioAnalysis'!$C$43), -3)</f>
        <v>7416000</v>
      </c>
      <c r="F49" s="15">
        <f>ROUND(E49*(1+'Ass &amp; ScenarioAnalysis'!$C$43), -3)</f>
        <v>7638000</v>
      </c>
      <c r="G49" s="15">
        <f>ROUND(F49*(1+'Ass &amp; ScenarioAnalysis'!$C$43), -3)</f>
        <v>7867000</v>
      </c>
      <c r="H49" s="15">
        <f>ROUND(G49*(1+'Ass &amp; ScenarioAnalysis'!$C$43), -3)</f>
        <v>8103000</v>
      </c>
    </row>
    <row r="50" spans="3:8" ht="11.25" customHeight="1" x14ac:dyDescent="0.2">
      <c r="C50" s="5" t="str">
        <f>B36</f>
        <v>Other Expenses: Hosting and general onlune services</v>
      </c>
      <c r="D50" s="15">
        <f>'Ass &amp; ScenarioAnalysis'!C48</f>
        <v>360000</v>
      </c>
      <c r="E50" s="15">
        <f>ROUND(D50*(1+'Ass &amp; ScenarioAnalysis'!$C$49), -3)</f>
        <v>367000</v>
      </c>
      <c r="F50" s="15">
        <f>ROUND(E50*(1+'Ass &amp; ScenarioAnalysis'!$C$49), -3)</f>
        <v>374000</v>
      </c>
      <c r="G50" s="15">
        <f>ROUND(F50*(1+'Ass &amp; ScenarioAnalysis'!$C$49), -3)</f>
        <v>381000</v>
      </c>
      <c r="H50" s="15">
        <f>ROUND(G50*(1+'Ass &amp; ScenarioAnalysis'!$C$49), -3)</f>
        <v>389000</v>
      </c>
    </row>
    <row r="51" spans="3:8" ht="19.5" customHeight="1" thickBot="1" x14ac:dyDescent="0.25">
      <c r="C51" s="18" t="s">
        <v>128</v>
      </c>
      <c r="D51" s="20">
        <f>SUM(D45:D50)</f>
        <v>116611000</v>
      </c>
      <c r="E51" s="20">
        <f>SUM(E45:E50)</f>
        <v>124143000</v>
      </c>
      <c r="F51" s="20">
        <f t="shared" ref="F51:H51" si="6">SUM(F45:F50)</f>
        <v>132119000</v>
      </c>
      <c r="G51" s="20">
        <f t="shared" si="6"/>
        <v>140565000</v>
      </c>
      <c r="H51" s="20">
        <f t="shared" si="6"/>
        <v>149522000</v>
      </c>
    </row>
    <row r="52" spans="3:8" ht="11.25" customHeight="1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</vt:lpstr>
      <vt:lpstr>Ass &amp; ScenarioAnalysis</vt:lpstr>
      <vt:lpstr>BalSheet</vt:lpstr>
      <vt:lpstr>Income Statement</vt:lpstr>
      <vt:lpstr>Cash Flow</vt:lpstr>
      <vt:lpstr>DCF Valuation</vt:lpstr>
      <vt:lpstr>Beta Calulations</vt:lpstr>
      <vt:lpstr>Revenue</vt:lpstr>
      <vt:lpstr>Expenses</vt:lpstr>
      <vt:lpstr>Dep &amp; Amort Schedule</vt:lpstr>
      <vt:lpstr>Debt</vt:lpstr>
      <vt:lpstr>Sheet1</vt:lpstr>
      <vt:lpstr>year1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Amuta</dc:creator>
  <cp:lastModifiedBy>Mathias Amuta</cp:lastModifiedBy>
  <cp:lastPrinted>2019-09-17T11:53:15Z</cp:lastPrinted>
  <dcterms:created xsi:type="dcterms:W3CDTF">2019-09-10T09:11:53Z</dcterms:created>
  <dcterms:modified xsi:type="dcterms:W3CDTF">2020-04-29T12:38:15Z</dcterms:modified>
</cp:coreProperties>
</file>