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ayog\Desktop\"/>
    </mc:Choice>
  </mc:AlternateContent>
  <bookViews>
    <workbookView xWindow="120" yWindow="105" windowWidth="15195" windowHeight="8445" firstSheet="8" activeTab="14"/>
  </bookViews>
  <sheets>
    <sheet name="Cover Page" sheetId="12" r:id="rId1"/>
    <sheet name="INDEX" sheetId="16" r:id="rId2"/>
    <sheet name="PROJECT AT GLANCE" sheetId="13" r:id="rId3"/>
    <sheet name="PRAMOTOR PROFILE" sheetId="15" r:id="rId4"/>
    <sheet name="ACTIVITY" sheetId="19" r:id="rId5"/>
    <sheet name="Cost" sheetId="14" r:id="rId6"/>
    <sheet name="Repayment Schedule" sheetId="3" r:id="rId7"/>
    <sheet name="P &amp; L" sheetId="4" r:id="rId8"/>
    <sheet name="BS" sheetId="1" r:id="rId9"/>
    <sheet name="Cash Flow Statement" sheetId="5" r:id="rId10"/>
    <sheet name="Cap &amp; Tax" sheetId="6" r:id="rId11"/>
    <sheet name="Dep" sheetId="7" r:id="rId12"/>
    <sheet name="Structural Ratios" sheetId="8" r:id="rId13"/>
    <sheet name="BEP" sheetId="10" r:id="rId14"/>
    <sheet name="Assumptions" sheetId="18" r:id="rId15"/>
  </sheets>
  <definedNames>
    <definedName name="_xlnm.Print_Area" localSheetId="5">Cost!$A$1:$C$27</definedName>
    <definedName name="_xlnm.Print_Area" localSheetId="1">INDEX!$A$1:$C$46</definedName>
    <definedName name="_xlnm.Print_Area" localSheetId="3">'PRAMOTOR PROFILE'!$A$1:$B$34</definedName>
  </definedNames>
  <calcPr calcId="162913"/>
</workbook>
</file>

<file path=xl/calcChain.xml><?xml version="1.0" encoding="utf-8"?>
<calcChain xmlns="http://schemas.openxmlformats.org/spreadsheetml/2006/main">
  <c r="E17" i="8" l="1"/>
  <c r="D17" i="8"/>
  <c r="C17" i="8"/>
  <c r="B17" i="8"/>
  <c r="E14" i="8"/>
  <c r="D14" i="8"/>
  <c r="B14" i="8"/>
  <c r="E11" i="8"/>
  <c r="D11" i="8"/>
  <c r="B11" i="8"/>
  <c r="E9" i="8"/>
  <c r="D9" i="8"/>
  <c r="C9" i="8"/>
  <c r="B9" i="8"/>
  <c r="E10" i="7" l="1"/>
  <c r="D10" i="7"/>
  <c r="C10" i="7"/>
  <c r="E8" i="3"/>
  <c r="H9" i="7"/>
  <c r="B18" i="5"/>
  <c r="B10" i="5"/>
  <c r="O2" i="3"/>
  <c r="R5" i="3"/>
  <c r="C24" i="14"/>
  <c r="E7" i="3" s="1"/>
  <c r="K11" i="6" l="1"/>
  <c r="K10" i="6"/>
  <c r="J11" i="6"/>
  <c r="J10" i="6"/>
  <c r="E12" i="4"/>
  <c r="H32" i="6"/>
  <c r="G32" i="6"/>
  <c r="E32" i="6"/>
  <c r="D32" i="6"/>
  <c r="C32" i="6"/>
  <c r="B32" i="6"/>
  <c r="B29" i="1" l="1"/>
  <c r="E9" i="7" l="1"/>
  <c r="D9" i="7"/>
  <c r="C9" i="7"/>
  <c r="G21" i="18" l="1"/>
  <c r="E22" i="18"/>
  <c r="G20" i="18"/>
  <c r="G22" i="18" l="1"/>
  <c r="I30" i="5" l="1"/>
  <c r="H30" i="5"/>
  <c r="G30" i="5"/>
  <c r="F30" i="5"/>
  <c r="E30" i="5"/>
  <c r="D30" i="5"/>
  <c r="C30" i="5"/>
  <c r="D11" i="7" l="1"/>
  <c r="F10" i="7"/>
  <c r="B11" i="7"/>
  <c r="C11" i="7"/>
  <c r="E11" i="7"/>
  <c r="B1" i="16"/>
  <c r="B52" i="16"/>
  <c r="B49" i="16"/>
  <c r="B46" i="16"/>
  <c r="B43" i="16"/>
  <c r="B40" i="16"/>
  <c r="B37" i="16"/>
  <c r="B34" i="16"/>
  <c r="B31" i="16"/>
  <c r="B28" i="16"/>
  <c r="B25" i="16"/>
  <c r="B22" i="16"/>
  <c r="B19" i="16"/>
  <c r="B4" i="15"/>
  <c r="A2" i="15"/>
  <c r="A2" i="19" s="1"/>
  <c r="A1" i="15"/>
  <c r="A1" i="19" s="1"/>
  <c r="C26" i="1"/>
  <c r="D26" i="1" s="1"/>
  <c r="E26" i="1" s="1"/>
  <c r="F26" i="1" s="1"/>
  <c r="G26" i="1" s="1"/>
  <c r="H26" i="1" s="1"/>
  <c r="H16" i="6"/>
  <c r="G16" i="6"/>
  <c r="F16" i="6"/>
  <c r="E16" i="6"/>
  <c r="D16" i="6"/>
  <c r="C16" i="6"/>
  <c r="B16" i="6"/>
  <c r="I28" i="5"/>
  <c r="H28" i="5"/>
  <c r="G28" i="5"/>
  <c r="F28" i="5"/>
  <c r="E28" i="5"/>
  <c r="D28" i="5"/>
  <c r="H31" i="1"/>
  <c r="G31" i="1"/>
  <c r="F31" i="1"/>
  <c r="E31" i="1"/>
  <c r="D31" i="1"/>
  <c r="C31" i="1"/>
  <c r="B31" i="1"/>
  <c r="C28" i="5" s="1"/>
  <c r="F32" i="6"/>
  <c r="B15" i="4"/>
  <c r="H21" i="4"/>
  <c r="G21" i="4"/>
  <c r="F21" i="4"/>
  <c r="E21" i="4"/>
  <c r="D21" i="4"/>
  <c r="C21" i="4"/>
  <c r="B22" i="4"/>
  <c r="F11" i="7" l="1"/>
  <c r="B24" i="4"/>
  <c r="A2" i="13"/>
  <c r="A2" i="14" s="1"/>
  <c r="A2" i="3" s="1"/>
  <c r="A2" i="4" s="1"/>
  <c r="A2" i="1" s="1"/>
  <c r="A2" i="5" s="1"/>
  <c r="A1" i="13"/>
  <c r="A1" i="14" s="1"/>
  <c r="A1" i="3" s="1"/>
  <c r="A1" i="4" s="1"/>
  <c r="A1" i="1" s="1"/>
  <c r="A1" i="5" s="1"/>
  <c r="A1" i="6" s="1"/>
  <c r="A1" i="7" s="1"/>
  <c r="A1" i="8" s="1"/>
  <c r="A1" i="10" s="1"/>
  <c r="B15" i="5"/>
  <c r="B12" i="7"/>
  <c r="B17" i="7" s="1"/>
  <c r="B22" i="7" s="1"/>
  <c r="B27" i="7" s="1"/>
  <c r="B32" i="7" s="1"/>
  <c r="B37" i="7" s="1"/>
  <c r="B42" i="7" s="1"/>
  <c r="H30" i="4"/>
  <c r="G30" i="4"/>
  <c r="F30" i="4"/>
  <c r="E30" i="4"/>
  <c r="D30" i="4"/>
  <c r="C30" i="4"/>
  <c r="B30" i="4"/>
  <c r="C19" i="14"/>
  <c r="C8" i="14" s="1"/>
  <c r="D17" i="13" s="1"/>
  <c r="B13" i="7" l="1"/>
  <c r="B16" i="7" s="1"/>
  <c r="B18" i="7" s="1"/>
  <c r="B21" i="7" s="1"/>
  <c r="B23" i="7" s="1"/>
  <c r="B26" i="7" s="1"/>
  <c r="B28" i="7" s="1"/>
  <c r="B31" i="7" s="1"/>
  <c r="B33" i="7" s="1"/>
  <c r="B36" i="7" s="1"/>
  <c r="B38" i="7" s="1"/>
  <c r="B41" i="7" s="1"/>
  <c r="B43" i="7" s="1"/>
  <c r="A2" i="6"/>
  <c r="A2" i="7" s="1"/>
  <c r="A2" i="8" s="1"/>
  <c r="A2" i="10" s="1"/>
  <c r="C27" i="14"/>
  <c r="B12" i="6" l="1"/>
  <c r="B22" i="5"/>
  <c r="B24" i="5" s="1"/>
  <c r="B31" i="5" l="1"/>
  <c r="B33" i="5" s="1"/>
  <c r="C32" i="5" s="1"/>
  <c r="B17" i="1"/>
  <c r="E9" i="3"/>
  <c r="C20" i="4"/>
  <c r="D20" i="4" s="1"/>
  <c r="E20" i="4" s="1"/>
  <c r="F20" i="4" s="1"/>
  <c r="G20" i="4" s="1"/>
  <c r="H20" i="4" s="1"/>
  <c r="C34" i="4"/>
  <c r="D34" i="4" s="1"/>
  <c r="E34" i="4" s="1"/>
  <c r="F34" i="4" s="1"/>
  <c r="G34" i="4" s="1"/>
  <c r="H34" i="4" s="1"/>
  <c r="C33" i="4"/>
  <c r="D33" i="4" s="1"/>
  <c r="C18" i="4"/>
  <c r="D18" i="4" s="1"/>
  <c r="E18" i="4" s="1"/>
  <c r="F18" i="4" s="1"/>
  <c r="G18" i="4" s="1"/>
  <c r="H18" i="4" s="1"/>
  <c r="C17" i="4"/>
  <c r="C22" i="4" s="1"/>
  <c r="C13" i="4"/>
  <c r="C29" i="1" s="1"/>
  <c r="C12" i="4"/>
  <c r="P5" i="3" l="1"/>
  <c r="N87" i="3"/>
  <c r="N83" i="3"/>
  <c r="N79" i="3"/>
  <c r="N75" i="3"/>
  <c r="N71" i="3"/>
  <c r="N67" i="3"/>
  <c r="N63" i="3"/>
  <c r="N59" i="3"/>
  <c r="N55" i="3"/>
  <c r="N51" i="3"/>
  <c r="N47" i="3"/>
  <c r="N43" i="3"/>
  <c r="N39" i="3"/>
  <c r="N35" i="3"/>
  <c r="N31" i="3"/>
  <c r="N27" i="3"/>
  <c r="N23" i="3"/>
  <c r="N19" i="3"/>
  <c r="N15" i="3"/>
  <c r="N11" i="3"/>
  <c r="N7" i="3"/>
  <c r="M89" i="3"/>
  <c r="M85" i="3"/>
  <c r="O85" i="3" s="1"/>
  <c r="M81" i="3"/>
  <c r="M77" i="3"/>
  <c r="M73" i="3"/>
  <c r="M69" i="3"/>
  <c r="M65" i="3"/>
  <c r="M61" i="3"/>
  <c r="M57" i="3"/>
  <c r="M53" i="3"/>
  <c r="M49" i="3"/>
  <c r="M45" i="3"/>
  <c r="M41" i="3"/>
  <c r="M37" i="3"/>
  <c r="M33" i="3"/>
  <c r="M29" i="3"/>
  <c r="M25" i="3"/>
  <c r="M21" i="3"/>
  <c r="M17" i="3"/>
  <c r="M13" i="3"/>
  <c r="M9" i="3"/>
  <c r="L89" i="3"/>
  <c r="L85" i="3"/>
  <c r="L81" i="3"/>
  <c r="L77" i="3"/>
  <c r="L73" i="3"/>
  <c r="L69" i="3"/>
  <c r="L65" i="3"/>
  <c r="L61" i="3"/>
  <c r="L57" i="3"/>
  <c r="L53" i="3"/>
  <c r="L49" i="3"/>
  <c r="L45" i="3"/>
  <c r="L41" i="3"/>
  <c r="L37" i="3"/>
  <c r="L33" i="3"/>
  <c r="L29" i="3"/>
  <c r="L25" i="3"/>
  <c r="L21" i="3"/>
  <c r="L17" i="3"/>
  <c r="L13" i="3"/>
  <c r="L9" i="3"/>
  <c r="L5" i="3"/>
  <c r="N48" i="3"/>
  <c r="N36" i="3"/>
  <c r="N24" i="3"/>
  <c r="N12" i="3"/>
  <c r="M86" i="3"/>
  <c r="O86" i="3" s="1"/>
  <c r="M74" i="3"/>
  <c r="M62" i="3"/>
  <c r="M50" i="3"/>
  <c r="M38" i="3"/>
  <c r="M22" i="3"/>
  <c r="M10" i="3"/>
  <c r="L82" i="3"/>
  <c r="L74" i="3"/>
  <c r="L66" i="3"/>
  <c r="N86" i="3"/>
  <c r="N82" i="3"/>
  <c r="N78" i="3"/>
  <c r="N74" i="3"/>
  <c r="N70" i="3"/>
  <c r="N66" i="3"/>
  <c r="N62" i="3"/>
  <c r="N58" i="3"/>
  <c r="N54" i="3"/>
  <c r="N50" i="3"/>
  <c r="N46" i="3"/>
  <c r="N42" i="3"/>
  <c r="N38" i="3"/>
  <c r="N34" i="3"/>
  <c r="N30" i="3"/>
  <c r="N26" i="3"/>
  <c r="N22" i="3"/>
  <c r="O22" i="3" s="1"/>
  <c r="N18" i="3"/>
  <c r="N14" i="3"/>
  <c r="N10" i="3"/>
  <c r="N6" i="3"/>
  <c r="M88" i="3"/>
  <c r="O88" i="3" s="1"/>
  <c r="M84" i="3"/>
  <c r="O84" i="3" s="1"/>
  <c r="M80" i="3"/>
  <c r="M76" i="3"/>
  <c r="M72" i="3"/>
  <c r="M68" i="3"/>
  <c r="M64" i="3"/>
  <c r="M60" i="3"/>
  <c r="M56" i="3"/>
  <c r="M52" i="3"/>
  <c r="M48" i="3"/>
  <c r="M44" i="3"/>
  <c r="M40" i="3"/>
  <c r="M36" i="3"/>
  <c r="M32" i="3"/>
  <c r="M28" i="3"/>
  <c r="M24" i="3"/>
  <c r="M20" i="3"/>
  <c r="M16" i="3"/>
  <c r="M12" i="3"/>
  <c r="M8" i="3"/>
  <c r="L88" i="3"/>
  <c r="L84" i="3"/>
  <c r="L80" i="3"/>
  <c r="L76" i="3"/>
  <c r="L72" i="3"/>
  <c r="L68" i="3"/>
  <c r="L64" i="3"/>
  <c r="L60" i="3"/>
  <c r="L56" i="3"/>
  <c r="L52" i="3"/>
  <c r="L48" i="3"/>
  <c r="L44" i="3"/>
  <c r="L40" i="3"/>
  <c r="L36" i="3"/>
  <c r="L32" i="3"/>
  <c r="L28" i="3"/>
  <c r="L24" i="3"/>
  <c r="L20" i="3"/>
  <c r="L16" i="3"/>
  <c r="L12" i="3"/>
  <c r="L8" i="3"/>
  <c r="N84" i="3"/>
  <c r="N76" i="3"/>
  <c r="N68" i="3"/>
  <c r="N60" i="3"/>
  <c r="N52" i="3"/>
  <c r="N40" i="3"/>
  <c r="N28" i="3"/>
  <c r="N16" i="3"/>
  <c r="N8" i="3"/>
  <c r="M82" i="3"/>
  <c r="M70" i="3"/>
  <c r="O70" i="3" s="1"/>
  <c r="M58" i="3"/>
  <c r="M46" i="3"/>
  <c r="M34" i="3"/>
  <c r="M26" i="3"/>
  <c r="M14" i="3"/>
  <c r="O14" i="3" s="1"/>
  <c r="L86" i="3"/>
  <c r="L78" i="3"/>
  <c r="B20" i="3"/>
  <c r="N89" i="3"/>
  <c r="N85" i="3"/>
  <c r="N81" i="3"/>
  <c r="N77" i="3"/>
  <c r="N73" i="3"/>
  <c r="N69" i="3"/>
  <c r="N65" i="3"/>
  <c r="N61" i="3"/>
  <c r="N57" i="3"/>
  <c r="N53" i="3"/>
  <c r="N49" i="3"/>
  <c r="N45" i="3"/>
  <c r="N41" i="3"/>
  <c r="N37" i="3"/>
  <c r="N33" i="3"/>
  <c r="N29" i="3"/>
  <c r="N25" i="3"/>
  <c r="N21" i="3"/>
  <c r="N17" i="3"/>
  <c r="N13" i="3"/>
  <c r="N9" i="3"/>
  <c r="N5" i="3"/>
  <c r="M87" i="3"/>
  <c r="M83" i="3"/>
  <c r="M79" i="3"/>
  <c r="M75" i="3"/>
  <c r="M71" i="3"/>
  <c r="M67" i="3"/>
  <c r="M63" i="3"/>
  <c r="M59" i="3"/>
  <c r="M55" i="3"/>
  <c r="M51" i="3"/>
  <c r="M47" i="3"/>
  <c r="M43" i="3"/>
  <c r="M39" i="3"/>
  <c r="M35" i="3"/>
  <c r="O35" i="3" s="1"/>
  <c r="M31" i="3"/>
  <c r="M27" i="3"/>
  <c r="M23" i="3"/>
  <c r="M19" i="3"/>
  <c r="M15" i="3"/>
  <c r="M11" i="3"/>
  <c r="M7" i="3"/>
  <c r="L87" i="3"/>
  <c r="L83" i="3"/>
  <c r="L79" i="3"/>
  <c r="L75" i="3"/>
  <c r="L71" i="3"/>
  <c r="L67" i="3"/>
  <c r="L63" i="3"/>
  <c r="L59" i="3"/>
  <c r="L55" i="3"/>
  <c r="L51" i="3"/>
  <c r="L47" i="3"/>
  <c r="L43" i="3"/>
  <c r="L39" i="3"/>
  <c r="L35" i="3"/>
  <c r="L31" i="3"/>
  <c r="L27" i="3"/>
  <c r="L23" i="3"/>
  <c r="L19" i="3"/>
  <c r="L15" i="3"/>
  <c r="L11" i="3"/>
  <c r="L7" i="3"/>
  <c r="N88" i="3"/>
  <c r="N80" i="3"/>
  <c r="N72" i="3"/>
  <c r="N64" i="3"/>
  <c r="N56" i="3"/>
  <c r="N44" i="3"/>
  <c r="N32" i="3"/>
  <c r="N20" i="3"/>
  <c r="M5" i="3"/>
  <c r="M78" i="3"/>
  <c r="M66" i="3"/>
  <c r="M54" i="3"/>
  <c r="M42" i="3"/>
  <c r="M30" i="3"/>
  <c r="M18" i="3"/>
  <c r="M6" i="3"/>
  <c r="L70" i="3"/>
  <c r="L54" i="3"/>
  <c r="L38" i="3"/>
  <c r="L22" i="3"/>
  <c r="L6" i="3"/>
  <c r="L50" i="3"/>
  <c r="L34" i="3"/>
  <c r="L18" i="3"/>
  <c r="L46" i="3"/>
  <c r="L14" i="3"/>
  <c r="L42" i="3"/>
  <c r="L10" i="3"/>
  <c r="L62" i="3"/>
  <c r="L30" i="3"/>
  <c r="L58" i="3"/>
  <c r="L26" i="3"/>
  <c r="E15" i="3"/>
  <c r="O52" i="3"/>
  <c r="O67" i="3"/>
  <c r="O51" i="3"/>
  <c r="O65" i="3"/>
  <c r="O80" i="3"/>
  <c r="C15" i="4"/>
  <c r="D12" i="4"/>
  <c r="C24" i="4"/>
  <c r="E33" i="4"/>
  <c r="F33" i="4" s="1"/>
  <c r="G33" i="4" s="1"/>
  <c r="H33" i="4" s="1"/>
  <c r="B17" i="10"/>
  <c r="D17" i="4"/>
  <c r="C17" i="1"/>
  <c r="D13" i="4"/>
  <c r="D29" i="1" s="1"/>
  <c r="O20" i="3" l="1"/>
  <c r="O40" i="3"/>
  <c r="O39" i="3"/>
  <c r="O55" i="3"/>
  <c r="O38" i="3"/>
  <c r="R11" i="3"/>
  <c r="B21" i="3" s="1"/>
  <c r="O15" i="3"/>
  <c r="O31" i="3"/>
  <c r="O47" i="3"/>
  <c r="Q59" i="3"/>
  <c r="F22" i="3" s="1"/>
  <c r="R47" i="3"/>
  <c r="E21" i="3" s="1"/>
  <c r="R35" i="3"/>
  <c r="D21" i="3" s="1"/>
  <c r="Q23" i="3"/>
  <c r="C22" i="3" s="1"/>
  <c r="Q47" i="3"/>
  <c r="E22" i="3" s="1"/>
  <c r="R59" i="3"/>
  <c r="F21" i="3" s="1"/>
  <c r="O24" i="3"/>
  <c r="Q11" i="3"/>
  <c r="B22" i="3" s="1"/>
  <c r="Q35" i="3"/>
  <c r="D22" i="3" s="1"/>
  <c r="R23" i="3"/>
  <c r="C21" i="3" s="1"/>
  <c r="O50" i="3"/>
  <c r="O58" i="3"/>
  <c r="O36" i="3"/>
  <c r="O19" i="3"/>
  <c r="O83" i="3"/>
  <c r="E14" i="3"/>
  <c r="O49" i="3"/>
  <c r="O69" i="3"/>
  <c r="O64" i="3"/>
  <c r="O89" i="3"/>
  <c r="O32" i="3"/>
  <c r="O28" i="3"/>
  <c r="O13" i="3"/>
  <c r="O8" i="3"/>
  <c r="O72" i="3"/>
  <c r="O79" i="3"/>
  <c r="O34" i="3"/>
  <c r="O33" i="3"/>
  <c r="O23" i="3"/>
  <c r="O87" i="3"/>
  <c r="O54" i="3"/>
  <c r="Q65" i="3"/>
  <c r="R17" i="3"/>
  <c r="O78" i="3"/>
  <c r="R89" i="3"/>
  <c r="R29" i="3"/>
  <c r="O42" i="3"/>
  <c r="Q53" i="3"/>
  <c r="F19" i="5" s="1"/>
  <c r="Q41" i="3"/>
  <c r="E19" i="5" s="1"/>
  <c r="R53" i="3"/>
  <c r="R41" i="3"/>
  <c r="Q77" i="3"/>
  <c r="Q29" i="3"/>
  <c r="R77" i="3"/>
  <c r="Q89" i="3"/>
  <c r="I19" i="5" s="1"/>
  <c r="R65" i="3"/>
  <c r="O18" i="3"/>
  <c r="O77" i="3"/>
  <c r="Q17" i="3"/>
  <c r="O6" i="3"/>
  <c r="P6" i="3" s="1"/>
  <c r="O63" i="3"/>
  <c r="O21" i="3"/>
  <c r="O56" i="3"/>
  <c r="O41" i="3"/>
  <c r="O82" i="3"/>
  <c r="O43" i="3"/>
  <c r="O44" i="3"/>
  <c r="O29" i="3"/>
  <c r="O27" i="3"/>
  <c r="O48" i="3"/>
  <c r="O17" i="3"/>
  <c r="O30" i="3"/>
  <c r="O37" i="3"/>
  <c r="O10" i="3"/>
  <c r="O62" i="3"/>
  <c r="O7" i="3"/>
  <c r="O71" i="3"/>
  <c r="O57" i="3"/>
  <c r="O66" i="3"/>
  <c r="O59" i="3"/>
  <c r="O60" i="3"/>
  <c r="O45" i="3"/>
  <c r="O25" i="3"/>
  <c r="O46" i="3"/>
  <c r="O68" i="3"/>
  <c r="O53" i="3"/>
  <c r="O16" i="3"/>
  <c r="O81" i="3"/>
  <c r="O74" i="3"/>
  <c r="O9" i="3"/>
  <c r="O73" i="3"/>
  <c r="O26" i="3"/>
  <c r="O11" i="3"/>
  <c r="O75" i="3"/>
  <c r="O12" i="3"/>
  <c r="O76" i="3"/>
  <c r="O61" i="3"/>
  <c r="D15" i="4"/>
  <c r="D17" i="1"/>
  <c r="D22" i="4"/>
  <c r="E17" i="4"/>
  <c r="E22" i="4" s="1"/>
  <c r="E13" i="4"/>
  <c r="E29" i="1" s="1"/>
  <c r="G19" i="5" l="1"/>
  <c r="D19" i="5"/>
  <c r="G23" i="3"/>
  <c r="G33" i="8" s="1"/>
  <c r="G31" i="4"/>
  <c r="F31" i="4"/>
  <c r="F23" i="3"/>
  <c r="F33" i="8" s="1"/>
  <c r="E31" i="4"/>
  <c r="E23" i="3"/>
  <c r="E33" i="8" s="1"/>
  <c r="C31" i="4"/>
  <c r="C23" i="3"/>
  <c r="C33" i="8" s="1"/>
  <c r="H31" i="4"/>
  <c r="H33" i="8"/>
  <c r="D31" i="4"/>
  <c r="D23" i="3"/>
  <c r="D33" i="8" s="1"/>
  <c r="B24" i="3"/>
  <c r="C19" i="5"/>
  <c r="B23" i="3"/>
  <c r="B33" i="8" s="1"/>
  <c r="B31" i="4"/>
  <c r="P7" i="3"/>
  <c r="P8" i="3" s="1"/>
  <c r="P9" i="3" s="1"/>
  <c r="P10" i="3" s="1"/>
  <c r="P11" i="3" s="1"/>
  <c r="P12" i="3" s="1"/>
  <c r="P13" i="3" s="1"/>
  <c r="P14" i="3" s="1"/>
  <c r="P15" i="3" s="1"/>
  <c r="P16" i="3" s="1"/>
  <c r="P17" i="3" s="1"/>
  <c r="P18" i="3" s="1"/>
  <c r="P19" i="3" s="1"/>
  <c r="P20" i="3" s="1"/>
  <c r="P21" i="3" s="1"/>
  <c r="P22" i="3" s="1"/>
  <c r="P23" i="3" s="1"/>
  <c r="P24" i="3" s="1"/>
  <c r="P25" i="3" s="1"/>
  <c r="P26" i="3" s="1"/>
  <c r="P27" i="3" s="1"/>
  <c r="P28" i="3" s="1"/>
  <c r="P29" i="3" s="1"/>
  <c r="P30" i="3" s="1"/>
  <c r="P31" i="3" s="1"/>
  <c r="P32" i="3" s="1"/>
  <c r="P33" i="3" s="1"/>
  <c r="P34" i="3" s="1"/>
  <c r="P35" i="3" s="1"/>
  <c r="P36" i="3" s="1"/>
  <c r="P37" i="3" s="1"/>
  <c r="P38" i="3" s="1"/>
  <c r="P39" i="3" s="1"/>
  <c r="P40" i="3" s="1"/>
  <c r="P41" i="3" s="1"/>
  <c r="P42" i="3" s="1"/>
  <c r="P43" i="3" s="1"/>
  <c r="P44" i="3" s="1"/>
  <c r="P45" i="3" s="1"/>
  <c r="P46" i="3" s="1"/>
  <c r="P47" i="3" s="1"/>
  <c r="P48" i="3" s="1"/>
  <c r="P49" i="3" s="1"/>
  <c r="P50" i="3" s="1"/>
  <c r="P51" i="3" s="1"/>
  <c r="P52" i="3" s="1"/>
  <c r="P53" i="3" s="1"/>
  <c r="P54" i="3" s="1"/>
  <c r="P55" i="3" s="1"/>
  <c r="P56" i="3" s="1"/>
  <c r="P57" i="3" s="1"/>
  <c r="P58" i="3" s="1"/>
  <c r="P59" i="3" s="1"/>
  <c r="P60" i="3" s="1"/>
  <c r="P61" i="3" s="1"/>
  <c r="P62" i="3" s="1"/>
  <c r="P63" i="3" s="1"/>
  <c r="P64" i="3" s="1"/>
  <c r="P65" i="3" s="1"/>
  <c r="P66" i="3" s="1"/>
  <c r="P67" i="3" s="1"/>
  <c r="P68" i="3" s="1"/>
  <c r="P69" i="3" s="1"/>
  <c r="P70" i="3" s="1"/>
  <c r="P71" i="3" s="1"/>
  <c r="P72" i="3" s="1"/>
  <c r="P73" i="3" s="1"/>
  <c r="P74" i="3" s="1"/>
  <c r="P75" i="3" s="1"/>
  <c r="P76" i="3" s="1"/>
  <c r="P77" i="3" s="1"/>
  <c r="P78" i="3" s="1"/>
  <c r="P79" i="3" s="1"/>
  <c r="P80" i="3" s="1"/>
  <c r="P81" i="3" s="1"/>
  <c r="P82" i="3" s="1"/>
  <c r="P83" i="3" s="1"/>
  <c r="P84" i="3" s="1"/>
  <c r="P85" i="3" s="1"/>
  <c r="P86" i="3" s="1"/>
  <c r="P87" i="3" s="1"/>
  <c r="P88" i="3" s="1"/>
  <c r="P89" i="3" s="1"/>
  <c r="E15" i="4"/>
  <c r="E24" i="4" s="1"/>
  <c r="F12" i="4"/>
  <c r="D24" i="4"/>
  <c r="F17" i="4"/>
  <c r="F22" i="4" s="1"/>
  <c r="E17" i="1"/>
  <c r="F13" i="4"/>
  <c r="C29" i="5"/>
  <c r="E33" i="7"/>
  <c r="E38" i="7"/>
  <c r="E43" i="7"/>
  <c r="C12" i="7"/>
  <c r="F29" i="1" l="1"/>
  <c r="H19" i="5"/>
  <c r="G12" i="4"/>
  <c r="G29" i="1" s="1"/>
  <c r="C20" i="3"/>
  <c r="C24" i="3" s="1"/>
  <c r="B13" i="1"/>
  <c r="F15" i="4"/>
  <c r="F24" i="4" s="1"/>
  <c r="D25" i="13" s="1"/>
  <c r="H12" i="4"/>
  <c r="G17" i="4"/>
  <c r="G22" i="4" s="1"/>
  <c r="F17" i="1"/>
  <c r="G29" i="5" s="1"/>
  <c r="G13" i="4"/>
  <c r="D29" i="5"/>
  <c r="D27" i="5"/>
  <c r="F27" i="5"/>
  <c r="B20" i="10"/>
  <c r="C27" i="5"/>
  <c r="C13" i="7"/>
  <c r="C16" i="7" s="1"/>
  <c r="C17" i="7" s="1"/>
  <c r="F29" i="5"/>
  <c r="E29" i="5"/>
  <c r="D20" i="3" l="1"/>
  <c r="D24" i="3" s="1"/>
  <c r="C13" i="1"/>
  <c r="G15" i="4"/>
  <c r="G24" i="4" s="1"/>
  <c r="H17" i="4"/>
  <c r="H22" i="4" s="1"/>
  <c r="G17" i="1"/>
  <c r="H29" i="5" s="1"/>
  <c r="H13" i="4"/>
  <c r="H29" i="1" s="1"/>
  <c r="H27" i="5"/>
  <c r="G27" i="5"/>
  <c r="E27" i="5"/>
  <c r="C18" i="7"/>
  <c r="C21" i="7" s="1"/>
  <c r="F9" i="7"/>
  <c r="C28" i="4"/>
  <c r="H15" i="4" l="1"/>
  <c r="H24" i="4"/>
  <c r="H17" i="1"/>
  <c r="I29" i="5" s="1"/>
  <c r="C22" i="7"/>
  <c r="I27" i="5"/>
  <c r="D12" i="7"/>
  <c r="E12" i="7"/>
  <c r="E13" i="7" s="1"/>
  <c r="E16" i="7" s="1"/>
  <c r="E17" i="7" s="1"/>
  <c r="C29" i="4"/>
  <c r="C23" i="7" l="1"/>
  <c r="C26" i="7" s="1"/>
  <c r="E18" i="7"/>
  <c r="E21" i="7" s="1"/>
  <c r="D13" i="7"/>
  <c r="D16" i="7" s="1"/>
  <c r="F12" i="7"/>
  <c r="F13" i="7" s="1"/>
  <c r="F16" i="7" s="1"/>
  <c r="C22" i="1" s="1"/>
  <c r="B22" i="1"/>
  <c r="D29" i="4"/>
  <c r="B14" i="10" s="1"/>
  <c r="G28" i="4" l="1"/>
  <c r="D17" i="7"/>
  <c r="F17" i="7" s="1"/>
  <c r="E22" i="7"/>
  <c r="C27" i="7"/>
  <c r="B32" i="4"/>
  <c r="B23" i="1"/>
  <c r="B24" i="1" s="1"/>
  <c r="E23" i="7" l="1"/>
  <c r="E26" i="7" s="1"/>
  <c r="E28" i="7" s="1"/>
  <c r="D18" i="7"/>
  <c r="D21" i="7" s="1"/>
  <c r="C28" i="7"/>
  <c r="C31" i="7" s="1"/>
  <c r="C22" i="5"/>
  <c r="C13" i="5"/>
  <c r="B28" i="8"/>
  <c r="F18" i="7"/>
  <c r="F21" i="7" s="1"/>
  <c r="D22" i="1" s="1"/>
  <c r="C23" i="1"/>
  <c r="C24" i="1" s="1"/>
  <c r="C32" i="4"/>
  <c r="F22" i="5"/>
  <c r="H22" i="5"/>
  <c r="G22" i="5"/>
  <c r="D22" i="5"/>
  <c r="E22" i="5"/>
  <c r="I22" i="5"/>
  <c r="F29" i="4"/>
  <c r="D22" i="7" l="1"/>
  <c r="F22" i="7" s="1"/>
  <c r="D32" i="4" s="1"/>
  <c r="B16" i="10" s="1"/>
  <c r="C32" i="7"/>
  <c r="D13" i="5"/>
  <c r="C28" i="8"/>
  <c r="G29" i="4"/>
  <c r="B35" i="4" l="1"/>
  <c r="B37" i="4" s="1"/>
  <c r="B28" i="6" s="1"/>
  <c r="B34" i="8"/>
  <c r="C35" i="4"/>
  <c r="B29" i="8"/>
  <c r="D23" i="1"/>
  <c r="D24" i="1" s="1"/>
  <c r="F23" i="7"/>
  <c r="F26" i="7" s="1"/>
  <c r="E22" i="1" s="1"/>
  <c r="D23" i="7"/>
  <c r="D26" i="7" s="1"/>
  <c r="C33" i="7"/>
  <c r="C36" i="7" s="1"/>
  <c r="E13" i="5"/>
  <c r="D28" i="8"/>
  <c r="C34" i="8"/>
  <c r="H29" i="4"/>
  <c r="E20" i="3" l="1"/>
  <c r="E24" i="3" s="1"/>
  <c r="D13" i="1"/>
  <c r="D27" i="7"/>
  <c r="F27" i="7" s="1"/>
  <c r="C37" i="7"/>
  <c r="C37" i="4"/>
  <c r="C29" i="8"/>
  <c r="D34" i="8" l="1"/>
  <c r="C14" i="8"/>
  <c r="E23" i="1"/>
  <c r="E24" i="1" s="1"/>
  <c r="E32" i="4"/>
  <c r="F28" i="7"/>
  <c r="F31" i="7" s="1"/>
  <c r="D28" i="7"/>
  <c r="D31" i="7" s="1"/>
  <c r="C38" i="7"/>
  <c r="C41" i="7" s="1"/>
  <c r="C28" i="6"/>
  <c r="F20" i="3" l="1"/>
  <c r="F24" i="3" s="1"/>
  <c r="E13" i="1"/>
  <c r="D35" i="4"/>
  <c r="D37" i="4" s="1"/>
  <c r="B15" i="10"/>
  <c r="B18" i="10" s="1"/>
  <c r="D32" i="7"/>
  <c r="F32" i="7" s="1"/>
  <c r="F33" i="7" s="1"/>
  <c r="F36" i="7" s="1"/>
  <c r="F22" i="1"/>
  <c r="F13" i="5"/>
  <c r="E28" i="8"/>
  <c r="C42" i="7"/>
  <c r="D29" i="8" l="1"/>
  <c r="E35" i="4"/>
  <c r="B10" i="10"/>
  <c r="B11" i="10" s="1"/>
  <c r="G22" i="1"/>
  <c r="F32" i="4"/>
  <c r="F23" i="1"/>
  <c r="F24" i="1" s="1"/>
  <c r="D33" i="7"/>
  <c r="D36" i="7" s="1"/>
  <c r="C43" i="7"/>
  <c r="D28" i="6"/>
  <c r="F13" i="1" l="1"/>
  <c r="E34" i="8"/>
  <c r="B21" i="10"/>
  <c r="B22" i="10" s="1"/>
  <c r="D37" i="7"/>
  <c r="F37" i="7" s="1"/>
  <c r="F28" i="8"/>
  <c r="G13" i="5"/>
  <c r="E37" i="4"/>
  <c r="E29" i="8"/>
  <c r="G23" i="1" l="1"/>
  <c r="G24" i="1" s="1"/>
  <c r="G32" i="4"/>
  <c r="F38" i="7"/>
  <c r="F41" i="7" s="1"/>
  <c r="D38" i="7"/>
  <c r="D41" i="7" s="1"/>
  <c r="E28" i="6"/>
  <c r="H20" i="3" l="1"/>
  <c r="H24" i="3" s="1"/>
  <c r="G13" i="1"/>
  <c r="F35" i="4"/>
  <c r="H22" i="1"/>
  <c r="G28" i="8"/>
  <c r="H13" i="5"/>
  <c r="D42" i="7"/>
  <c r="F42" i="7" s="1"/>
  <c r="F43" i="7" s="1"/>
  <c r="F34" i="8" l="1"/>
  <c r="D43" i="7"/>
  <c r="H23" i="1"/>
  <c r="H24" i="1" s="1"/>
  <c r="H32" i="4"/>
  <c r="B30" i="10" s="1"/>
  <c r="F37" i="4"/>
  <c r="F29" i="8"/>
  <c r="H13" i="1"/>
  <c r="G35" i="4" l="1"/>
  <c r="I13" i="5"/>
  <c r="H28" i="8"/>
  <c r="F28" i="6"/>
  <c r="G34" i="8" l="1"/>
  <c r="G37" i="4"/>
  <c r="G29" i="8"/>
  <c r="H35" i="4" l="1"/>
  <c r="G28" i="6"/>
  <c r="H34" i="8" l="1"/>
  <c r="H37" i="4"/>
  <c r="H29" i="8"/>
  <c r="F33" i="6"/>
  <c r="F35" i="6" s="1"/>
  <c r="G33" i="6"/>
  <c r="F36" i="6" l="1"/>
  <c r="G35" i="6"/>
  <c r="G36" i="6" s="1"/>
  <c r="H28" i="6"/>
  <c r="H33" i="6" s="1"/>
  <c r="F14" i="8"/>
  <c r="B33" i="6"/>
  <c r="F38" i="4" l="1"/>
  <c r="F39" i="4" s="1"/>
  <c r="G11" i="5" s="1"/>
  <c r="H35" i="6"/>
  <c r="H36" i="6" s="1"/>
  <c r="G38" i="4"/>
  <c r="G39" i="4" s="1"/>
  <c r="G26" i="8" s="1"/>
  <c r="G31" i="8" s="1"/>
  <c r="G37" i="8" s="1"/>
  <c r="B38" i="4"/>
  <c r="B39" i="4" s="1"/>
  <c r="B36" i="6"/>
  <c r="F26" i="8" l="1"/>
  <c r="F31" i="8" s="1"/>
  <c r="F37" i="8" s="1"/>
  <c r="F13" i="6"/>
  <c r="H38" i="4"/>
  <c r="H39" i="4" s="1"/>
  <c r="H26" i="8" s="1"/>
  <c r="H31" i="8" s="1"/>
  <c r="H37" i="8" s="1"/>
  <c r="G13" i="6"/>
  <c r="H11" i="5"/>
  <c r="H15" i="5" s="1"/>
  <c r="H24" i="5" s="1"/>
  <c r="H31" i="5" s="1"/>
  <c r="G15" i="5"/>
  <c r="G24" i="5" s="1"/>
  <c r="G31" i="5" s="1"/>
  <c r="C11" i="5"/>
  <c r="B13" i="6"/>
  <c r="B14" i="6" s="1"/>
  <c r="B18" i="6" s="1"/>
  <c r="B26" i="8"/>
  <c r="B31" i="8" s="1"/>
  <c r="B37" i="8" s="1"/>
  <c r="H13" i="6" l="1"/>
  <c r="I11" i="5"/>
  <c r="I15" i="5" s="1"/>
  <c r="I24" i="5" s="1"/>
  <c r="I31" i="5" s="1"/>
  <c r="C15" i="5"/>
  <c r="B11" i="1"/>
  <c r="B18" i="1" s="1"/>
  <c r="C9" i="6"/>
  <c r="C33" i="6"/>
  <c r="C35" i="6" s="1"/>
  <c r="C24" i="5" l="1"/>
  <c r="C31" i="5" l="1"/>
  <c r="C33" i="5" s="1"/>
  <c r="C38" i="4"/>
  <c r="C39" i="4" s="1"/>
  <c r="C36" i="6"/>
  <c r="E33" i="6"/>
  <c r="E35" i="6" l="1"/>
  <c r="E38" i="4" s="1"/>
  <c r="E39" i="4" s="1"/>
  <c r="B30" i="1"/>
  <c r="B36" i="1" s="1"/>
  <c r="B38" i="1" s="1"/>
  <c r="D32" i="5"/>
  <c r="C26" i="8"/>
  <c r="C31" i="8" s="1"/>
  <c r="C37" i="8" s="1"/>
  <c r="D11" i="5"/>
  <c r="C13" i="6"/>
  <c r="C14" i="6" s="1"/>
  <c r="C18" i="6" s="1"/>
  <c r="E36" i="6" l="1"/>
  <c r="D15" i="5"/>
  <c r="E13" i="6"/>
  <c r="E26" i="8"/>
  <c r="E31" i="8" s="1"/>
  <c r="E37" i="8" s="1"/>
  <c r="C11" i="1"/>
  <c r="C11" i="8" s="1"/>
  <c r="D9" i="6"/>
  <c r="F11" i="5"/>
  <c r="D33" i="6"/>
  <c r="D35" i="6" s="1"/>
  <c r="D24" i="5" l="1"/>
  <c r="F15" i="5"/>
  <c r="F24" i="5" s="1"/>
  <c r="F31" i="5" s="1"/>
  <c r="C18" i="1"/>
  <c r="D36" i="6"/>
  <c r="D38" i="4"/>
  <c r="D39" i="4" s="1"/>
  <c r="D27" i="13" s="1"/>
  <c r="D31" i="5" l="1"/>
  <c r="D33" i="5" s="1"/>
  <c r="E32" i="5" s="1"/>
  <c r="D26" i="8"/>
  <c r="D31" i="8" s="1"/>
  <c r="D37" i="8" s="1"/>
  <c r="B40" i="8" s="1"/>
  <c r="B29" i="10"/>
  <c r="B31" i="10" s="1"/>
  <c r="B35" i="10" s="1"/>
  <c r="D13" i="6"/>
  <c r="D14" i="6" s="1"/>
  <c r="D18" i="6" s="1"/>
  <c r="E11" i="5"/>
  <c r="C30" i="1" l="1"/>
  <c r="D23" i="13"/>
  <c r="E15" i="5"/>
  <c r="E9" i="6"/>
  <c r="E14" i="6" s="1"/>
  <c r="E18" i="6" s="1"/>
  <c r="D11" i="1"/>
  <c r="C36" i="1" l="1"/>
  <c r="C38" i="1" s="1"/>
  <c r="E24" i="5"/>
  <c r="D18" i="1"/>
  <c r="F9" i="6"/>
  <c r="F14" i="6" s="1"/>
  <c r="F18" i="6" s="1"/>
  <c r="E11" i="1"/>
  <c r="E31" i="5" l="1"/>
  <c r="E33" i="5" s="1"/>
  <c r="E18" i="1"/>
  <c r="F11" i="1"/>
  <c r="G9" i="6"/>
  <c r="G14" i="6" s="1"/>
  <c r="G18" i="6" s="1"/>
  <c r="D30" i="1" l="1"/>
  <c r="F32" i="5"/>
  <c r="F33" i="5" s="1"/>
  <c r="G32" i="5" s="1"/>
  <c r="G33" i="5" s="1"/>
  <c r="H32" i="5" s="1"/>
  <c r="H33" i="5" s="1"/>
  <c r="I32" i="5" s="1"/>
  <c r="I33" i="5" s="1"/>
  <c r="H30" i="1" s="1"/>
  <c r="F18" i="1"/>
  <c r="H9" i="6"/>
  <c r="H14" i="6" s="1"/>
  <c r="H18" i="6" s="1"/>
  <c r="H11" i="1" s="1"/>
  <c r="G11" i="1"/>
  <c r="H36" i="1" l="1"/>
  <c r="D36" i="1"/>
  <c r="D38" i="1" s="1"/>
  <c r="G30" i="1"/>
  <c r="E30" i="1"/>
  <c r="F30" i="1"/>
  <c r="H18" i="1"/>
  <c r="G18" i="1"/>
  <c r="H38" i="1" l="1"/>
  <c r="F36" i="1"/>
  <c r="F38" i="1" s="1"/>
  <c r="E36" i="1"/>
  <c r="E38" i="1" s="1"/>
  <c r="G36" i="1"/>
  <c r="G38" i="1" s="1"/>
  <c r="F9" i="8"/>
  <c r="D21" i="13" s="1"/>
  <c r="F11" i="8"/>
  <c r="D29" i="13" s="1"/>
  <c r="F17" i="8" l="1"/>
</calcChain>
</file>

<file path=xl/sharedStrings.xml><?xml version="1.0" encoding="utf-8"?>
<sst xmlns="http://schemas.openxmlformats.org/spreadsheetml/2006/main" count="453" uniqueCount="304">
  <si>
    <t>PROJECTED BALANCE SHEET</t>
  </si>
  <si>
    <t>(Amount in Rs.)</t>
  </si>
  <si>
    <t>PARTICULARS</t>
  </si>
  <si>
    <t>OPERATING YEARS</t>
  </si>
  <si>
    <t>I</t>
  </si>
  <si>
    <t>II</t>
  </si>
  <si>
    <t>III</t>
  </si>
  <si>
    <t>IV</t>
  </si>
  <si>
    <t>V</t>
  </si>
  <si>
    <t>VI</t>
  </si>
  <si>
    <t>VII</t>
  </si>
  <si>
    <t>( I ) EQUITY AND LIABILITIES</t>
  </si>
  <si>
    <t xml:space="preserve">     Capital account</t>
  </si>
  <si>
    <t xml:space="preserve">     Proposed Term Loan</t>
  </si>
  <si>
    <t xml:space="preserve">     Sundry Creditors</t>
  </si>
  <si>
    <t>TOTAL</t>
  </si>
  <si>
    <t>( II ) ASSETS</t>
  </si>
  <si>
    <t xml:space="preserve">         Less: Depreciation</t>
  </si>
  <si>
    <t xml:space="preserve">     Sundry Debtors</t>
  </si>
  <si>
    <t xml:space="preserve">     Cash and Bank Balances</t>
  </si>
  <si>
    <t>Insurance</t>
  </si>
  <si>
    <t>TERM LOAN REPAYMENT SCHEDULE</t>
  </si>
  <si>
    <t>Amount Of Term Loan</t>
  </si>
  <si>
    <t>:</t>
  </si>
  <si>
    <t>Rs.</t>
  </si>
  <si>
    <t>Amount Of Subsidy</t>
  </si>
  <si>
    <t>Net Eligible Term Loan</t>
  </si>
  <si>
    <t>Term</t>
  </si>
  <si>
    <t>Years</t>
  </si>
  <si>
    <t>Moratorium Period</t>
  </si>
  <si>
    <t>Year</t>
  </si>
  <si>
    <t>Total Installments</t>
  </si>
  <si>
    <t>Monthly installments</t>
  </si>
  <si>
    <t>Annual Principal Repayment</t>
  </si>
  <si>
    <t>Monthly Principal Amount</t>
  </si>
  <si>
    <t>YEARS</t>
  </si>
  <si>
    <t>Total (A)</t>
  </si>
  <si>
    <t>Repairs &amp; Maintenance</t>
  </si>
  <si>
    <t>Depreciation</t>
  </si>
  <si>
    <t>Total (B)</t>
  </si>
  <si>
    <t>PROJECTED CASH FLOW STATEMENT</t>
  </si>
  <si>
    <t>Particulars</t>
  </si>
  <si>
    <t>Add:</t>
  </si>
  <si>
    <t xml:space="preserve">Sub Total </t>
  </si>
  <si>
    <t>Less:</t>
  </si>
  <si>
    <t>Loan Principal Repayment</t>
  </si>
  <si>
    <t>Investments</t>
  </si>
  <si>
    <t>Drawings</t>
  </si>
  <si>
    <t>Total</t>
  </si>
  <si>
    <t>(Increase)/ decrease in debtors</t>
  </si>
  <si>
    <t>Increase/ (decrease) in creditors</t>
  </si>
  <si>
    <t>Cash Generated</t>
  </si>
  <si>
    <t>Opening Balance</t>
  </si>
  <si>
    <t>Closing Balance</t>
  </si>
  <si>
    <t>CAPITAL ACCOUNT</t>
  </si>
  <si>
    <t>Additions during the year</t>
  </si>
  <si>
    <t>Margin Money</t>
  </si>
  <si>
    <t>Profit for the year</t>
  </si>
  <si>
    <t>Balance</t>
  </si>
  <si>
    <r>
      <rPr>
        <b/>
        <u/>
        <sz val="12"/>
        <rFont val="Times New Roman"/>
        <family val="1"/>
      </rPr>
      <t>Less:</t>
    </r>
    <r>
      <rPr>
        <sz val="12"/>
        <rFont val="Times New Roman"/>
        <family val="1"/>
      </rPr>
      <t xml:space="preserve"> Drawings</t>
    </r>
  </si>
  <si>
    <t>CALCULATION OF TAX LIABILITY</t>
  </si>
  <si>
    <t>DESCRIPTION</t>
  </si>
  <si>
    <t>Profit as per Profit &amp;Loss A/c</t>
  </si>
  <si>
    <t>( Profit before Tax)</t>
  </si>
  <si>
    <t>Taxable Profit</t>
  </si>
  <si>
    <t>Total Tax and Cess Payable</t>
  </si>
  <si>
    <t>PARICULARS</t>
  </si>
  <si>
    <t>BUILDING</t>
  </si>
  <si>
    <t>MACHINERY</t>
  </si>
  <si>
    <t>FURNITURE</t>
  </si>
  <si>
    <t>COMPUTERS</t>
  </si>
  <si>
    <t>YEAR-I</t>
  </si>
  <si>
    <t>Less: Subsidy</t>
  </si>
  <si>
    <t>Less:Depreciation</t>
  </si>
  <si>
    <t>Closing W.D.V</t>
  </si>
  <si>
    <t>YEAR-II</t>
  </si>
  <si>
    <t>YEAR-III</t>
  </si>
  <si>
    <t>YEAR-IV</t>
  </si>
  <si>
    <t>YEAR-V</t>
  </si>
  <si>
    <t>YEAR-VI</t>
  </si>
  <si>
    <t>YEAR-VII</t>
  </si>
  <si>
    <t>STRUCTURAL RATIOS</t>
  </si>
  <si>
    <t>Average</t>
  </si>
  <si>
    <t>Debt Equity Ratio</t>
  </si>
  <si>
    <t>Return On Net Worth</t>
  </si>
  <si>
    <t>( Profit Before Int. &amp; Tax To Net Worth)</t>
  </si>
  <si>
    <t>Interest Coverage Ratio</t>
  </si>
  <si>
    <t>( Profit Before Int. &amp; Tax To Total Int.Chgs.)</t>
  </si>
  <si>
    <t>DEBT SERVICE COVERAGE RATIO (DSCR)</t>
  </si>
  <si>
    <t>Net Profit for the Year</t>
  </si>
  <si>
    <t>Interest on term loan</t>
  </si>
  <si>
    <t>(A) Total Funds Available</t>
  </si>
  <si>
    <t>Repayment along with Interest</t>
  </si>
  <si>
    <t>(B) Total Financial obligation to Bank</t>
  </si>
  <si>
    <t>DSCR (A/B)</t>
  </si>
  <si>
    <t>Average DSCR</t>
  </si>
  <si>
    <t>BREAK EVEN ANALYSIS</t>
  </si>
  <si>
    <t>(Based on third year of Operation)</t>
  </si>
  <si>
    <t>(A) Variable Expenses</t>
  </si>
  <si>
    <t>(B) Fixed Expenses</t>
  </si>
  <si>
    <t>(C) Gross Receipts  ( A - B )</t>
  </si>
  <si>
    <t>(D) Contribution ( C - A )</t>
  </si>
  <si>
    <r>
      <t xml:space="preserve">(E) BEP   =   </t>
    </r>
    <r>
      <rPr>
        <u/>
        <sz val="12"/>
        <rFont val="Times New Roman"/>
        <family val="1"/>
      </rPr>
      <t>Fixed Expenses x 100</t>
    </r>
  </si>
  <si>
    <t xml:space="preserve">          Contribution</t>
  </si>
  <si>
    <t>PAY BACK PERIOD</t>
  </si>
  <si>
    <t xml:space="preserve">         Average Profit after Tax</t>
  </si>
  <si>
    <r>
      <rPr>
        <b/>
        <u/>
        <sz val="14"/>
        <rFont val="Times New Roman"/>
        <family val="1"/>
      </rPr>
      <t>Add:</t>
    </r>
    <r>
      <rPr>
        <sz val="14"/>
        <rFont val="Times New Roman"/>
        <family val="1"/>
      </rPr>
      <t xml:space="preserve"> Average Depreciation W/o</t>
    </r>
  </si>
  <si>
    <t>Cash Inflow generated from the project</t>
  </si>
  <si>
    <r>
      <t xml:space="preserve">Payback Period   =    </t>
    </r>
    <r>
      <rPr>
        <u/>
        <sz val="14"/>
        <rFont val="Times New Roman"/>
        <family val="1"/>
      </rPr>
      <t xml:space="preserve"> Total Cost of Project</t>
    </r>
  </si>
  <si>
    <t xml:space="preserve">                 Cash Inflow</t>
  </si>
  <si>
    <t>i.e.</t>
  </si>
  <si>
    <r>
      <rPr>
        <u/>
        <sz val="12"/>
        <rFont val="Times New Roman"/>
        <family val="1"/>
      </rPr>
      <t>Less:</t>
    </r>
    <r>
      <rPr>
        <sz val="12"/>
        <rFont val="Times New Roman"/>
        <family val="1"/>
      </rPr>
      <t xml:space="preserve"> Deduction u/s 80 C to 80U</t>
    </r>
  </si>
  <si>
    <t>Less: Adjustment of carry forward of loss</t>
  </si>
  <si>
    <t>PROJECTED TRADING &amp; PROFIT &amp; LOSS ACCOUNT</t>
  </si>
  <si>
    <t>(A)  TRADING ACCOUNT</t>
  </si>
  <si>
    <t>Total (A) GROSS PROFIT</t>
  </si>
  <si>
    <t>Profit after tax</t>
  </si>
  <si>
    <t>(B) PROFIT &amp; LOSS A/C:</t>
  </si>
  <si>
    <t>Profit after Tax</t>
  </si>
  <si>
    <t>Frieght</t>
  </si>
  <si>
    <t>DEPRECIATION CHART AS PER INCOME TAX ACT 1961</t>
  </si>
  <si>
    <t>Working Capital</t>
  </si>
  <si>
    <t>Computer</t>
  </si>
  <si>
    <t>Income from Work Contracts</t>
  </si>
  <si>
    <t>Sales Revenue</t>
  </si>
  <si>
    <t>(Amount in Lakhs)</t>
  </si>
  <si>
    <t>Rent of Premises</t>
  </si>
  <si>
    <t>Contingencies</t>
  </si>
  <si>
    <t xml:space="preserve">     Proposed Cash Credit Limit</t>
  </si>
  <si>
    <t>Labour Cost</t>
  </si>
  <si>
    <t>Base Year</t>
  </si>
  <si>
    <t xml:space="preserve">Term Loan/ W. Cap </t>
  </si>
  <si>
    <t>Acquisition of Fixed Assets</t>
  </si>
  <si>
    <t xml:space="preserve">DETAILED PROJECT REPORT FOR </t>
  </si>
  <si>
    <t>M/s SMJ Interiors</t>
  </si>
  <si>
    <t>Address</t>
  </si>
  <si>
    <t>This project has been designed to establish a Manufactoring Concern at Jabalpur. It is a Proprietorship concern owned by Mr. Mukesh Kumar Jangir. The proprietor hail from business family and is having experience in this line of business.</t>
  </si>
  <si>
    <t>Now it is proposed to start operation with financial assistance from a suitable commercial bank.</t>
  </si>
  <si>
    <t>CA. Yogesh Jangid</t>
  </si>
  <si>
    <t>Chartered Accountant</t>
  </si>
  <si>
    <t>1101/B Shukla Nagar, Behind Shukla Market</t>
  </si>
  <si>
    <t>Garha Jabalpur 482003</t>
  </si>
  <si>
    <t>Mobile: 9827684536</t>
  </si>
  <si>
    <t>Email: cayogesh04@gmail.com</t>
  </si>
  <si>
    <t>PROJECT AT GLANCE :</t>
  </si>
  <si>
    <t>Name</t>
  </si>
  <si>
    <t>Nature of Business</t>
  </si>
  <si>
    <t>Manufactoring</t>
  </si>
  <si>
    <t>Constitution</t>
  </si>
  <si>
    <t>Proprietorship</t>
  </si>
  <si>
    <t>Proprietor</t>
  </si>
  <si>
    <t>Mr. Mukesh Kumar Jangir</t>
  </si>
  <si>
    <t>MBA</t>
  </si>
  <si>
    <t>Total Cost of the Project</t>
  </si>
  <si>
    <t>Sponsored Scheme</t>
  </si>
  <si>
    <t>Mukhya Mantri Yuva Udyami Yojana</t>
  </si>
  <si>
    <t>Debt Coverage Ratio</t>
  </si>
  <si>
    <t>Gross Profit Ratio</t>
  </si>
  <si>
    <t>Net Profit Ratio</t>
  </si>
  <si>
    <t>COST OF THE PROJECT AND MEANS OF FINANCE:</t>
  </si>
  <si>
    <t>The project cost has been estimated at Rs.</t>
  </si>
  <si>
    <t>Brief details of the project cost is given below</t>
  </si>
  <si>
    <t>Cost of the project</t>
  </si>
  <si>
    <t>(Rs. In Lakhs)</t>
  </si>
  <si>
    <t>Furniture &amp; Fixtures</t>
  </si>
  <si>
    <t>Means of Finance</t>
  </si>
  <si>
    <t>Promoters Contribution</t>
  </si>
  <si>
    <t>Term Loan from Bank / Institution</t>
  </si>
  <si>
    <t>Cash Credit from Bank</t>
  </si>
  <si>
    <t>Purchases</t>
  </si>
  <si>
    <t>All expenses excluding Fixed Expenses mentioned below in (B)</t>
  </si>
  <si>
    <t xml:space="preserve">Business Address: </t>
  </si>
  <si>
    <t>Sharda Chowk, Jabalpur</t>
  </si>
  <si>
    <t>Mobile No.</t>
  </si>
  <si>
    <t>2, Behind Rajesh Saw Mills, Sharda Mandir Road,
Sharda Chowk, Jabalpur</t>
  </si>
  <si>
    <t>Proposed Bank/ FI</t>
  </si>
  <si>
    <t>Bank of Baroda, Kherishakha Branch</t>
  </si>
  <si>
    <t>Opening Stock</t>
  </si>
  <si>
    <t>Closing Stock</t>
  </si>
  <si>
    <t>-</t>
  </si>
  <si>
    <t>(Increase)/ decrease in Stock</t>
  </si>
  <si>
    <t xml:space="preserve"> Closing Stock</t>
  </si>
  <si>
    <t>Change in Working Capital:</t>
  </si>
  <si>
    <t>Net Cash Flow</t>
  </si>
  <si>
    <t>Net Profit before tax[ (A) - (B) ]</t>
  </si>
  <si>
    <r>
      <rPr>
        <b/>
        <u/>
        <sz val="14"/>
        <rFont val="Times New Roman"/>
        <family val="1"/>
      </rPr>
      <t>Note</t>
    </r>
    <r>
      <rPr>
        <sz val="14"/>
        <rFont val="Times New Roman"/>
        <family val="1"/>
      </rPr>
      <t>: Depreciation is added back to the profit since 
it does not result in Cash outflow</t>
    </r>
  </si>
  <si>
    <t>Total Cost of Project (Term Loan)</t>
  </si>
  <si>
    <t>NAME OF PROMOTERS</t>
  </si>
  <si>
    <t>ADDRESS OF PROMOTERS</t>
  </si>
  <si>
    <t>FATHER NAME</t>
  </si>
  <si>
    <t>AGE</t>
  </si>
  <si>
    <t>EDUCATIONAL QUALIFICATION</t>
  </si>
  <si>
    <t>OCCUPATION</t>
  </si>
  <si>
    <t>BUSINESS</t>
  </si>
  <si>
    <t>EXPERIENCE</t>
  </si>
  <si>
    <t>1111/A Shukla Nagar Garha Jabalpur 482003</t>
  </si>
  <si>
    <t>Mr. Radheshyam Jangir</t>
  </si>
  <si>
    <t>Borrower is in the same field of work from past 3 years. It will help in running the business. Family is also engaged in related business.</t>
  </si>
  <si>
    <t>33 Years</t>
  </si>
  <si>
    <t xml:space="preserve">I N D E X </t>
  </si>
  <si>
    <t>INTRODUCTION AND PROJECT DETAIL</t>
  </si>
  <si>
    <t>CHAPTER I</t>
  </si>
  <si>
    <t>PROMOTERS PROFILE</t>
  </si>
  <si>
    <t>CHAPTER II</t>
  </si>
  <si>
    <t>A</t>
  </si>
  <si>
    <t>B</t>
  </si>
  <si>
    <t>Annexure A</t>
  </si>
  <si>
    <t>Annexure B</t>
  </si>
  <si>
    <t>Annexure I</t>
  </si>
  <si>
    <t>Annexure II</t>
  </si>
  <si>
    <t>Annexure III</t>
  </si>
  <si>
    <t>Annexure IV</t>
  </si>
  <si>
    <t>Annexure V</t>
  </si>
  <si>
    <t>Annexure VII</t>
  </si>
  <si>
    <t>Annexure VIII</t>
  </si>
  <si>
    <t>IX</t>
  </si>
  <si>
    <t>Annexure XI</t>
  </si>
  <si>
    <t>Annexure XII</t>
  </si>
  <si>
    <t>Annexure X</t>
  </si>
  <si>
    <t>Annexure IX</t>
  </si>
  <si>
    <t>Annexure VI</t>
  </si>
  <si>
    <t>VIII</t>
  </si>
  <si>
    <t>X</t>
  </si>
  <si>
    <t>XI</t>
  </si>
  <si>
    <t>XII</t>
  </si>
  <si>
    <t>Annexure</t>
  </si>
  <si>
    <t>PROJECT AT A GLANCE</t>
  </si>
  <si>
    <t>Financial Data Compiled by:</t>
  </si>
  <si>
    <t>Interest on Term Loan</t>
  </si>
  <si>
    <t>Return on Capital</t>
  </si>
  <si>
    <t>Net Interest Rate</t>
  </si>
  <si>
    <t xml:space="preserve">     Sundry Provisions</t>
  </si>
  <si>
    <t>Increase/ (decrease) in Provisions</t>
  </si>
  <si>
    <t xml:space="preserve">                  Net Fixed Assets</t>
  </si>
  <si>
    <t>4. Deferred Revenue Expenditure</t>
  </si>
  <si>
    <t xml:space="preserve">      Preliminary &amp; Pre operative Expenses</t>
  </si>
  <si>
    <t>1. Shareholders' Fund</t>
  </si>
  <si>
    <t>2. Secured Loan</t>
  </si>
  <si>
    <t>3. Current Liabilities</t>
  </si>
  <si>
    <t>1. Fixed Assets (Annexure-VIII)</t>
  </si>
  <si>
    <t>2. Investments</t>
  </si>
  <si>
    <t>3. Current Assets</t>
  </si>
  <si>
    <t>Assumption and workings notes to the Financial Statements of the Project Report:</t>
  </si>
  <si>
    <t>Revenue</t>
  </si>
  <si>
    <t>Material Purchase Costs</t>
  </si>
  <si>
    <t>S.No.</t>
  </si>
  <si>
    <t>Category of Employee</t>
  </si>
  <si>
    <t>No.of</t>
  </si>
  <si>
    <t>Salary per</t>
  </si>
  <si>
    <t>Employees</t>
  </si>
  <si>
    <t>Month</t>
  </si>
  <si>
    <t>Annuam</t>
  </si>
  <si>
    <t>Note: Increament in salary is taken at 5% per annum</t>
  </si>
  <si>
    <t>Depreciation:</t>
  </si>
  <si>
    <t>ANNEXURE NO.13</t>
  </si>
  <si>
    <t>ASSUMPTIONS</t>
  </si>
  <si>
    <t>XIII</t>
  </si>
  <si>
    <t>Revenue has been estimated on the basis of experience of the properietor.</t>
  </si>
  <si>
    <t>a) Income from works contract</t>
  </si>
  <si>
    <t>b) sales revenue</t>
  </si>
  <si>
    <t>There are two revenue streams:</t>
  </si>
  <si>
    <t>Labour</t>
  </si>
  <si>
    <t>Accounting Expenses</t>
  </si>
  <si>
    <t>The material is estimated to cost at around 50% of total revenue. Procured material will be used for both i.e. works contract and sales. Material cost means cost of material used in the financial year.</t>
  </si>
  <si>
    <t>Overheads</t>
  </si>
  <si>
    <t>Depreciation is calculated at the rates prescribed under the Income Tax Act. Separate Annexure made</t>
  </si>
  <si>
    <t>Rent Expenses</t>
  </si>
  <si>
    <t>Rent expenses are Rs. 5000 per month as per rent deed produced to us.</t>
  </si>
  <si>
    <t>In practicality we can't estimate all the expenses, hence Rs. 50000/- has been provided (10% increment annually)</t>
  </si>
  <si>
    <t>for contingencies which may occur during operations of business.</t>
  </si>
  <si>
    <t>Actual results are likely to be different from the forecast since anticipated events might not occur as expected and the variation might be material. .</t>
  </si>
  <si>
    <t xml:space="preserve">Our responsibility does not include verification of the forecasts. Therefore, we do not vouch for the accuracy of the same.
</t>
  </si>
  <si>
    <t>Every year the Revenue is estimated to increase by 10%.</t>
  </si>
  <si>
    <t>Interest on CC (@13%)</t>
  </si>
  <si>
    <t>Tax Liability on the above</t>
  </si>
  <si>
    <t>BRIEF ABOUT THE ACTIVITY</t>
  </si>
  <si>
    <t>C</t>
  </si>
  <si>
    <t>BRIEF ABOUT THE PROPOSED ACTIVITY:</t>
  </si>
  <si>
    <t>Annexure C</t>
  </si>
  <si>
    <t>EMI no.</t>
  </si>
  <si>
    <t>Montly EMI</t>
  </si>
  <si>
    <t>Principal</t>
  </si>
  <si>
    <t>Interest</t>
  </si>
  <si>
    <t>Total Repayment</t>
  </si>
  <si>
    <t>Interest Charged</t>
  </si>
  <si>
    <t>Loan Outstanding at the end of the year</t>
  </si>
  <si>
    <t>Loan outstanding at the beginning</t>
  </si>
  <si>
    <t>Principal Paid during the year</t>
  </si>
  <si>
    <t>(in Lakhs)</t>
  </si>
  <si>
    <r>
      <rPr>
        <b/>
        <sz val="11"/>
        <rFont val="Times New Roman"/>
        <family val="1"/>
      </rPr>
      <t>Note:</t>
    </r>
    <r>
      <rPr>
        <sz val="11"/>
        <rFont val="Times New Roman"/>
        <family val="1"/>
      </rPr>
      <t xml:space="preserve"> Borrower is eligible for subsidy amount of 3.75 lakhs and Interest subsidy of 5% for 7 years.</t>
    </r>
  </si>
  <si>
    <t>Less: Tax paid @ 10% (As per Annexure VIII)</t>
  </si>
  <si>
    <t>Labour and Salary Expenses-</t>
  </si>
  <si>
    <t>Current Ratio</t>
  </si>
  <si>
    <t>2017-18</t>
  </si>
  <si>
    <r>
      <rPr>
        <b/>
        <sz val="12"/>
        <rFont val="Times New Roman"/>
        <family val="1"/>
      </rPr>
      <t xml:space="preserve">Note: </t>
    </r>
    <r>
      <rPr>
        <sz val="12"/>
        <rFont val="Times New Roman"/>
        <family val="1"/>
      </rPr>
      <t>For simplification, Income tax has been calculated @10% above exemption limits.</t>
    </r>
  </si>
  <si>
    <t>Overheads are estimated at Rs. 1.00 Lacs and provision made for increase in rates @ 3% per annum.</t>
  </si>
  <si>
    <t>We have estimated all the figures as per explaination produced to before us by the borrower for compilation.</t>
  </si>
  <si>
    <t xml:space="preserve">32, Behind Rajesh Saw Mills, Sharda Mandir Road, </t>
  </si>
  <si>
    <t>2 Years and 10 months approx.</t>
  </si>
  <si>
    <t>CNC Machine (UPVC Window Making Plant)</t>
  </si>
  <si>
    <t>(UPVC Window Making Plant)</t>
  </si>
  <si>
    <t>UPVC products are weather friendly – As compared to different doors and windows.Harder materials are ready to protect the doors and windows from winter, rain and summer.
UPVC products are sturdy –UPVC Windows and doors aren't needed to interchange after few years, it's a serious advantage of UPVC products over wood products or the other material products.
UPVC products don't need maintenance in short periods- The doors and windows manufactured from different materials forever need denting and painting. we've got to guard the doors and windows from wet and rain. Well the UPVC products are quality products and also the windows and doors of it doesn't need any regular denting and painting method to guard from wet. The fabric used in this product could be a superior product that opposes the issues associated with wet.
In India, UPVC doors and UPVC windows market is growing day by day in a quick manner. These products are used owing to its latest technologies, numerous helpful factors and prime quality materials are employed in it. there's little question that the UPVC products are planning to be the fundamental want of all kinds of homes.</t>
  </si>
  <si>
    <t>SMJ Interiors will manufacture UPVC Products like Various kinds of Windows, Doors etc.</t>
  </si>
  <si>
    <t>Debt Equity Ratio (Average)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</si>
</sst>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 #,##0.00_ ;_ * \-#,##0.00_ ;_ * &quot;-&quot;??_ ;_ @_ "/>
    <numFmt numFmtId="164" formatCode="&quot;$&quot;#,##0.00_);[Red]\(&quot;$&quot;#,##0.00\)"/>
    <numFmt numFmtId="165" formatCode="_(&quot;$&quot;* #,##0.00_);_(&quot;$&quot;* \(#,##0.00\);_(&quot;$&quot;* &quot;-&quot;??_);_(@_)"/>
    <numFmt numFmtId="166" formatCode="_(* #,##0.00_);_(* \(#,##0.00\);_(* &quot;-&quot;??_);_(@_)"/>
    <numFmt numFmtId="167" formatCode="_(* #,##0_);_(* \(#,##0\);_(* &quot;-&quot;??_);_(@_)"/>
    <numFmt numFmtId="168" formatCode="_(* #,##0.0_);_(* \(#,##0.0\);_(* &quot;-&quot;??_);_(@_)"/>
    <numFmt numFmtId="169" formatCode="_(* #,##0.000_);_(* \(#,##0.000\);_(* &quot;-&quot;??_);_(@_)"/>
  </numFmts>
  <fonts count="64" x14ac:knownFonts="1">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Times New Roman"/>
      <family val="1"/>
    </font>
    <font>
      <b/>
      <sz val="11"/>
      <name val="Times New Roman"/>
      <family val="1"/>
    </font>
    <font>
      <sz val="10"/>
      <name val="Times New Roman"/>
      <family val="1"/>
    </font>
    <font>
      <b/>
      <u/>
      <sz val="14"/>
      <name val="Times New Roman"/>
      <family val="1"/>
    </font>
    <font>
      <sz val="12"/>
      <name val="Times New Roman"/>
      <family val="1"/>
    </font>
    <font>
      <b/>
      <u/>
      <sz val="12"/>
      <name val="Times New Roman"/>
      <family val="1"/>
    </font>
    <font>
      <b/>
      <sz val="12"/>
      <name val="Times New Roman"/>
      <family val="1"/>
    </font>
    <font>
      <b/>
      <sz val="14"/>
      <name val="Times New Roman"/>
      <family val="1"/>
    </font>
    <font>
      <sz val="14"/>
      <name val="Times New Roman"/>
      <family val="1"/>
    </font>
    <font>
      <u/>
      <sz val="12"/>
      <name val="Times New Roman"/>
      <family val="1"/>
    </font>
    <font>
      <u/>
      <sz val="14"/>
      <name val="Times New Roman"/>
      <family val="1"/>
    </font>
    <font>
      <sz val="11"/>
      <name val="Calibri"/>
      <family val="2"/>
    </font>
    <font>
      <sz val="11"/>
      <color theme="1"/>
      <name val="Calibri"/>
      <family val="2"/>
      <scheme val="minor"/>
    </font>
    <font>
      <b/>
      <sz val="10"/>
      <name val="Arial"/>
      <family val="2"/>
    </font>
    <font>
      <b/>
      <sz val="11"/>
      <color theme="1"/>
      <name val="Calibri"/>
      <family val="2"/>
      <scheme val="minor"/>
    </font>
    <font>
      <sz val="10"/>
      <name val="Arial"/>
      <family val="2"/>
    </font>
    <font>
      <sz val="10"/>
      <color indexed="8"/>
      <name val="Times New Roman"/>
      <family val="1"/>
    </font>
    <font>
      <b/>
      <sz val="11"/>
      <color indexed="8"/>
      <name val="Times New Roman"/>
      <family val="1"/>
    </font>
    <font>
      <sz val="11"/>
      <color indexed="8"/>
      <name val="Times New Roman"/>
      <family val="1"/>
    </font>
    <font>
      <sz val="12"/>
      <color indexed="8"/>
      <name val="Times New Roman"/>
      <family val="1"/>
    </font>
    <font>
      <b/>
      <i/>
      <sz val="12"/>
      <color indexed="8"/>
      <name val="Times New Roman"/>
      <family val="1"/>
    </font>
    <font>
      <u/>
      <sz val="12"/>
      <color indexed="8"/>
      <name val="Times New Roman"/>
      <family val="1"/>
    </font>
    <font>
      <b/>
      <sz val="12"/>
      <color indexed="8"/>
      <name val="Times New Roman"/>
      <family val="1"/>
    </font>
    <font>
      <i/>
      <sz val="12"/>
      <color indexed="8"/>
      <name val="Times New Roman"/>
      <family val="1"/>
    </font>
    <font>
      <b/>
      <i/>
      <u/>
      <sz val="12"/>
      <color indexed="8"/>
      <name val="Times New Roman"/>
      <family val="1"/>
    </font>
    <font>
      <b/>
      <sz val="10"/>
      <name val="Times New Roman"/>
      <family val="1"/>
    </font>
    <font>
      <b/>
      <u/>
      <sz val="10"/>
      <name val="Times New Roman"/>
      <family val="1"/>
    </font>
    <font>
      <b/>
      <sz val="11"/>
      <color theme="1"/>
      <name val="Times New Roman"/>
      <family val="1"/>
    </font>
    <font>
      <b/>
      <sz val="12"/>
      <color theme="1"/>
      <name val="Times New Roman"/>
      <family val="1"/>
    </font>
    <font>
      <b/>
      <sz val="14"/>
      <color theme="1"/>
      <name val="Times New Roman"/>
      <family val="1"/>
    </font>
    <font>
      <b/>
      <sz val="12"/>
      <color theme="1"/>
      <name val="Calibri"/>
      <family val="2"/>
      <scheme val="minor"/>
    </font>
    <font>
      <sz val="12"/>
      <color theme="1"/>
      <name val="Calibri"/>
      <family val="2"/>
      <scheme val="minor"/>
    </font>
    <font>
      <sz val="12"/>
      <name val="Arial"/>
      <family val="2"/>
    </font>
    <font>
      <b/>
      <i/>
      <sz val="11"/>
      <name val="Times New Roman"/>
      <family val="1"/>
    </font>
    <font>
      <u/>
      <sz val="11"/>
      <color theme="10"/>
      <name val="Calibri"/>
      <family val="2"/>
      <scheme val="minor"/>
    </font>
    <font>
      <b/>
      <sz val="11"/>
      <color rgb="FF333333"/>
      <name val="Times New Roman"/>
      <family val="1"/>
    </font>
    <font>
      <b/>
      <sz val="11"/>
      <color rgb="FF333333"/>
      <name val="Arial"/>
      <family val="2"/>
    </font>
    <font>
      <sz val="12"/>
      <color rgb="FF333333"/>
      <name val="Georgia"/>
      <family val="1"/>
    </font>
    <font>
      <sz val="12"/>
      <color theme="1"/>
      <name val="Times New Roman"/>
      <family val="1"/>
    </font>
    <font>
      <b/>
      <u/>
      <sz val="11"/>
      <color theme="1"/>
      <name val="Times New Roman"/>
      <family val="1"/>
    </font>
    <font>
      <b/>
      <u/>
      <sz val="11"/>
      <color theme="1"/>
      <name val="Calibri"/>
      <family val="2"/>
      <scheme val="minor"/>
    </font>
    <font>
      <u/>
      <sz val="10"/>
      <name val="Arial"/>
      <family val="2"/>
    </font>
    <font>
      <u/>
      <sz val="11"/>
      <color theme="1"/>
      <name val="Calibri"/>
      <family val="2"/>
      <scheme val="minor"/>
    </font>
    <font>
      <u val="singleAccounting"/>
      <sz val="12"/>
      <name val="Times New Roman"/>
      <family val="1"/>
    </font>
    <font>
      <b/>
      <sz val="14"/>
      <color theme="1"/>
      <name val="Calibri"/>
      <family val="2"/>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1"/>
        <bgColor indexed="64"/>
      </patternFill>
    </fill>
  </fills>
  <borders count="5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51">
    <xf numFmtId="0" fontId="0" fillId="0" borderId="0"/>
    <xf numFmtId="0" fontId="1"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166"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2" fillId="23" borderId="7" applyNumberFormat="0" applyFont="0" applyAlignment="0" applyProtection="0"/>
    <xf numFmtId="0" fontId="15" fillId="20" borderId="8" applyNumberFormat="0" applyAlignment="0" applyProtection="0"/>
    <xf numFmtId="9" fontId="1"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66" fontId="31" fillId="0" borderId="0" applyFont="0" applyFill="0" applyBorder="0" applyAlignment="0" applyProtection="0"/>
    <xf numFmtId="9" fontId="31" fillId="0" borderId="0" applyFont="0" applyFill="0" applyBorder="0" applyAlignment="0" applyProtection="0"/>
    <xf numFmtId="0" fontId="34" fillId="0" borderId="0"/>
    <xf numFmtId="166" fontId="34" fillId="0" borderId="0" applyFont="0" applyFill="0" applyBorder="0" applyAlignment="0" applyProtection="0"/>
    <xf numFmtId="0" fontId="53" fillId="0" borderId="0" applyNumberFormat="0" applyFill="0" applyBorder="0" applyAlignment="0" applyProtection="0"/>
    <xf numFmtId="165" fontId="31" fillId="0" borderId="0" applyFont="0" applyFill="0" applyBorder="0" applyAlignment="0" applyProtection="0"/>
  </cellStyleXfs>
  <cellXfs count="547">
    <xf numFmtId="0" fontId="0" fillId="0" borderId="0" xfId="0"/>
    <xf numFmtId="167" fontId="23" fillId="0" borderId="0" xfId="1" applyNumberFormat="1" applyFont="1" applyFill="1"/>
    <xf numFmtId="0" fontId="23" fillId="0" borderId="0" xfId="1" applyFont="1" applyFill="1" applyAlignment="1">
      <alignment horizontal="center"/>
    </xf>
    <xf numFmtId="0" fontId="27" fillId="0" borderId="19" xfId="1" applyFont="1" applyFill="1" applyBorder="1"/>
    <xf numFmtId="166" fontId="23" fillId="0" borderId="0" xfId="29" applyNumberFormat="1" applyFont="1" applyFill="1" applyBorder="1" applyAlignment="1">
      <alignment horizontal="right"/>
    </xf>
    <xf numFmtId="0" fontId="25" fillId="0" borderId="0" xfId="1" applyFont="1" applyFill="1"/>
    <xf numFmtId="0" fontId="25" fillId="0" borderId="18" xfId="1" applyFont="1" applyFill="1" applyBorder="1" applyAlignment="1">
      <alignment horizontal="center"/>
    </xf>
    <xf numFmtId="0" fontId="25" fillId="0" borderId="38" xfId="1" applyFont="1" applyFill="1" applyBorder="1" applyAlignment="1">
      <alignment horizontal="center"/>
    </xf>
    <xf numFmtId="0" fontId="1" fillId="0" borderId="0" xfId="1"/>
    <xf numFmtId="0" fontId="22" fillId="0" borderId="0" xfId="1" applyFont="1" applyFill="1" applyAlignment="1">
      <alignment horizontal="center"/>
    </xf>
    <xf numFmtId="0" fontId="23" fillId="0" borderId="0" xfId="1" applyFont="1" applyFill="1"/>
    <xf numFmtId="0" fontId="22" fillId="0" borderId="0" xfId="1" applyFont="1" applyFill="1" applyBorder="1" applyAlignment="1">
      <alignment horizontal="center"/>
    </xf>
    <xf numFmtId="1" fontId="20" fillId="0" borderId="0" xfId="1" applyNumberFormat="1" applyFont="1" applyFill="1"/>
    <xf numFmtId="1" fontId="25" fillId="0" borderId="0" xfId="1" applyNumberFormat="1" applyFont="1" applyFill="1"/>
    <xf numFmtId="0" fontId="20" fillId="0" borderId="29" xfId="1" applyFont="1" applyFill="1" applyBorder="1" applyAlignment="1">
      <alignment horizontal="left" vertical="center"/>
    </xf>
    <xf numFmtId="0" fontId="23" fillId="0" borderId="10" xfId="1" applyFont="1" applyFill="1" applyBorder="1"/>
    <xf numFmtId="0" fontId="25" fillId="0" borderId="10" xfId="1" applyFont="1" applyFill="1" applyBorder="1"/>
    <xf numFmtId="0" fontId="20" fillId="0" borderId="31" xfId="1" applyFont="1" applyFill="1" applyBorder="1" applyAlignment="1">
      <alignment horizontal="left" vertical="center"/>
    </xf>
    <xf numFmtId="0" fontId="25" fillId="0" borderId="27" xfId="1" applyFont="1" applyFill="1" applyBorder="1" applyAlignment="1">
      <alignment horizontal="center"/>
    </xf>
    <xf numFmtId="0" fontId="25" fillId="0" borderId="28" xfId="1" applyFont="1" applyFill="1" applyBorder="1" applyAlignment="1">
      <alignment horizontal="center"/>
    </xf>
    <xf numFmtId="0" fontId="23" fillId="0" borderId="29" xfId="1" applyFont="1" applyFill="1" applyBorder="1"/>
    <xf numFmtId="0" fontId="25" fillId="0" borderId="31" xfId="1" applyFont="1" applyFill="1" applyBorder="1"/>
    <xf numFmtId="0" fontId="25" fillId="0" borderId="10" xfId="1" applyFont="1" applyFill="1" applyBorder="1" applyAlignment="1">
      <alignment horizontal="right"/>
    </xf>
    <xf numFmtId="0" fontId="22" fillId="0" borderId="0" xfId="1" applyFont="1" applyFill="1" applyAlignment="1">
      <alignment horizontal="center"/>
    </xf>
    <xf numFmtId="0" fontId="19" fillId="0" borderId="0" xfId="1" applyFont="1" applyFill="1"/>
    <xf numFmtId="0" fontId="19" fillId="0" borderId="0" xfId="1" applyFont="1" applyFill="1" applyBorder="1"/>
    <xf numFmtId="0" fontId="23" fillId="0" borderId="0" xfId="1" applyFont="1" applyFill="1" applyBorder="1"/>
    <xf numFmtId="0" fontId="19" fillId="0" borderId="13" xfId="1" applyFont="1" applyFill="1" applyBorder="1"/>
    <xf numFmtId="0" fontId="23" fillId="0" borderId="21" xfId="1" applyFont="1" applyFill="1" applyBorder="1"/>
    <xf numFmtId="0" fontId="25" fillId="0" borderId="23" xfId="1" applyFont="1" applyFill="1" applyBorder="1"/>
    <xf numFmtId="0" fontId="25" fillId="0" borderId="21" xfId="1" applyFont="1" applyFill="1" applyBorder="1"/>
    <xf numFmtId="0" fontId="25" fillId="0" borderId="20" xfId="1" applyFont="1" applyFill="1" applyBorder="1"/>
    <xf numFmtId="0" fontId="23" fillId="0" borderId="10" xfId="1" applyFont="1" applyFill="1" applyBorder="1"/>
    <xf numFmtId="0" fontId="23" fillId="0" borderId="31" xfId="1" applyFont="1" applyFill="1" applyBorder="1"/>
    <xf numFmtId="0" fontId="25" fillId="0" borderId="27" xfId="1" applyFont="1" applyFill="1" applyBorder="1" applyAlignment="1">
      <alignment horizontal="center"/>
    </xf>
    <xf numFmtId="0" fontId="25" fillId="0" borderId="28" xfId="1" applyFont="1" applyFill="1" applyBorder="1" applyAlignment="1">
      <alignment horizontal="center"/>
    </xf>
    <xf numFmtId="0" fontId="23" fillId="0" borderId="0" xfId="1" applyFont="1" applyFill="1" applyAlignment="1">
      <alignment horizontal="left"/>
    </xf>
    <xf numFmtId="0" fontId="23" fillId="0" borderId="30" xfId="1" applyFont="1" applyFill="1" applyBorder="1"/>
    <xf numFmtId="0" fontId="23" fillId="0" borderId="32" xfId="1" applyFont="1" applyFill="1" applyBorder="1"/>
    <xf numFmtId="0" fontId="23" fillId="0" borderId="33" xfId="1" applyFont="1" applyFill="1" applyBorder="1"/>
    <xf numFmtId="0" fontId="25" fillId="0" borderId="37" xfId="1" applyFont="1" applyFill="1" applyBorder="1"/>
    <xf numFmtId="0" fontId="23" fillId="0" borderId="12" xfId="1" applyFont="1" applyFill="1" applyBorder="1"/>
    <xf numFmtId="0" fontId="23" fillId="0" borderId="37" xfId="1" applyFont="1" applyFill="1" applyBorder="1"/>
    <xf numFmtId="0" fontId="21" fillId="0" borderId="0" xfId="1" applyFont="1" applyFill="1"/>
    <xf numFmtId="0" fontId="24" fillId="0" borderId="10" xfId="1" applyFont="1" applyFill="1" applyBorder="1"/>
    <xf numFmtId="0" fontId="23" fillId="0" borderId="0" xfId="1" applyFont="1" applyFill="1" applyBorder="1" applyAlignment="1">
      <alignment horizontal="left" vertical="top" wrapText="1"/>
    </xf>
    <xf numFmtId="0" fontId="23" fillId="0" borderId="30" xfId="1" applyFont="1" applyFill="1" applyBorder="1" applyAlignment="1">
      <alignment horizontal="left" vertical="top" wrapText="1"/>
    </xf>
    <xf numFmtId="0" fontId="23" fillId="0" borderId="31" xfId="1" applyFont="1" applyFill="1" applyBorder="1" applyAlignment="1">
      <alignment horizontal="left"/>
    </xf>
    <xf numFmtId="0" fontId="23" fillId="0" borderId="32" xfId="1" applyFont="1" applyFill="1" applyBorder="1" applyAlignment="1">
      <alignment horizontal="left"/>
    </xf>
    <xf numFmtId="0" fontId="19" fillId="0" borderId="32" xfId="1" applyFont="1" applyFill="1" applyBorder="1"/>
    <xf numFmtId="0" fontId="23" fillId="0" borderId="33" xfId="1" applyFont="1" applyFill="1" applyBorder="1" applyAlignment="1">
      <alignment horizontal="left"/>
    </xf>
    <xf numFmtId="0" fontId="23" fillId="0" borderId="0" xfId="1" applyFont="1" applyFill="1"/>
    <xf numFmtId="0" fontId="21" fillId="0" borderId="13" xfId="1" applyFont="1" applyFill="1" applyBorder="1"/>
    <xf numFmtId="0" fontId="25" fillId="0" borderId="14" xfId="1" applyFont="1" applyFill="1" applyBorder="1" applyAlignment="1">
      <alignment horizontal="center"/>
    </xf>
    <xf numFmtId="0" fontId="23" fillId="0" borderId="19" xfId="1" applyFont="1" applyFill="1" applyBorder="1"/>
    <xf numFmtId="9" fontId="25" fillId="0" borderId="13" xfId="1" applyNumberFormat="1" applyFont="1" applyFill="1" applyBorder="1" applyAlignment="1">
      <alignment horizontal="center"/>
    </xf>
    <xf numFmtId="0" fontId="25" fillId="0" borderId="18" xfId="1" applyFont="1" applyFill="1" applyBorder="1"/>
    <xf numFmtId="0" fontId="23" fillId="0" borderId="26" xfId="1" applyFont="1" applyFill="1" applyBorder="1"/>
    <xf numFmtId="0" fontId="25" fillId="0" borderId="19" xfId="1" applyFont="1" applyFill="1" applyBorder="1"/>
    <xf numFmtId="0" fontId="22" fillId="0" borderId="0" xfId="1" applyFont="1" applyFill="1" applyBorder="1" applyAlignment="1"/>
    <xf numFmtId="0" fontId="1" fillId="0" borderId="0" xfId="1"/>
    <xf numFmtId="0" fontId="19" fillId="0" borderId="0" xfId="1" applyFont="1" applyFill="1" applyBorder="1"/>
    <xf numFmtId="0" fontId="23" fillId="0" borderId="0" xfId="1" applyFont="1" applyFill="1" applyBorder="1"/>
    <xf numFmtId="0" fontId="23" fillId="0" borderId="0" xfId="1" applyFont="1" applyFill="1"/>
    <xf numFmtId="0" fontId="23" fillId="0" borderId="13" xfId="1" applyFont="1" applyFill="1" applyBorder="1"/>
    <xf numFmtId="0" fontId="19" fillId="0" borderId="13" xfId="1" applyFont="1" applyFill="1" applyBorder="1"/>
    <xf numFmtId="0" fontId="25" fillId="0" borderId="15" xfId="1" applyFont="1" applyFill="1" applyBorder="1" applyAlignment="1">
      <alignment horizontal="center"/>
    </xf>
    <xf numFmtId="0" fontId="25" fillId="0" borderId="17" xfId="1" applyFont="1" applyFill="1" applyBorder="1" applyAlignment="1">
      <alignment horizontal="center"/>
    </xf>
    <xf numFmtId="0" fontId="23" fillId="0" borderId="21" xfId="1" applyFont="1" applyFill="1" applyBorder="1"/>
    <xf numFmtId="0" fontId="25" fillId="0" borderId="23" xfId="1" applyFont="1" applyFill="1" applyBorder="1"/>
    <xf numFmtId="0" fontId="23" fillId="0" borderId="20" xfId="1" applyFont="1" applyFill="1" applyBorder="1"/>
    <xf numFmtId="0" fontId="25" fillId="0" borderId="21" xfId="1" applyFont="1" applyFill="1" applyBorder="1"/>
    <xf numFmtId="0" fontId="23" fillId="0" borderId="24" xfId="1" applyFont="1" applyFill="1" applyBorder="1"/>
    <xf numFmtId="0" fontId="25" fillId="0" borderId="20" xfId="1" applyFont="1" applyFill="1" applyBorder="1"/>
    <xf numFmtId="0" fontId="23" fillId="0" borderId="21" xfId="1" applyFont="1" applyFill="1" applyBorder="1" applyAlignment="1">
      <alignment horizontal="left" indent="1"/>
    </xf>
    <xf numFmtId="0" fontId="20" fillId="0" borderId="38" xfId="1" applyFont="1" applyFill="1" applyBorder="1" applyAlignment="1">
      <alignment horizontal="center"/>
    </xf>
    <xf numFmtId="2" fontId="23" fillId="0" borderId="0" xfId="1" applyNumberFormat="1" applyFont="1" applyFill="1" applyBorder="1"/>
    <xf numFmtId="2" fontId="23" fillId="0" borderId="24" xfId="1" applyNumberFormat="1" applyFont="1" applyFill="1" applyBorder="1"/>
    <xf numFmtId="0" fontId="23" fillId="0" borderId="25" xfId="1" applyFont="1" applyFill="1" applyBorder="1"/>
    <xf numFmtId="2" fontId="23" fillId="0" borderId="21" xfId="1" applyNumberFormat="1" applyFont="1" applyFill="1" applyBorder="1"/>
    <xf numFmtId="0" fontId="1" fillId="0" borderId="0" xfId="1"/>
    <xf numFmtId="0" fontId="22" fillId="0" borderId="0" xfId="1" applyFont="1" applyFill="1" applyAlignment="1">
      <alignment horizontal="center"/>
    </xf>
    <xf numFmtId="0" fontId="23" fillId="0" borderId="19" xfId="1" applyFont="1" applyFill="1" applyBorder="1"/>
    <xf numFmtId="0" fontId="23" fillId="0" borderId="21" xfId="1" applyFont="1" applyFill="1" applyBorder="1"/>
    <xf numFmtId="0" fontId="25" fillId="0" borderId="21" xfId="1" applyFont="1" applyFill="1" applyBorder="1"/>
    <xf numFmtId="0" fontId="25" fillId="0" borderId="13" xfId="1" applyFont="1" applyFill="1" applyBorder="1"/>
    <xf numFmtId="0" fontId="26" fillId="0" borderId="16" xfId="1" applyFont="1" applyFill="1" applyBorder="1" applyAlignment="1">
      <alignment horizontal="center"/>
    </xf>
    <xf numFmtId="0" fontId="27" fillId="0" borderId="21" xfId="1" applyFont="1" applyFill="1" applyBorder="1"/>
    <xf numFmtId="0" fontId="27" fillId="0" borderId="20" xfId="1" applyFont="1" applyFill="1" applyBorder="1"/>
    <xf numFmtId="0" fontId="25" fillId="0" borderId="16" xfId="1" applyFont="1" applyFill="1" applyBorder="1"/>
    <xf numFmtId="0" fontId="25" fillId="0" borderId="21" xfId="1" applyFont="1" applyFill="1" applyBorder="1" applyAlignment="1">
      <alignment horizontal="right"/>
    </xf>
    <xf numFmtId="0" fontId="23" fillId="0" borderId="21" xfId="1" applyFont="1" applyFill="1" applyBorder="1" applyAlignment="1">
      <alignment horizontal="left" vertical="top" indent="6"/>
    </xf>
    <xf numFmtId="0" fontId="19" fillId="0" borderId="20" xfId="1" applyFont="1" applyFill="1" applyBorder="1"/>
    <xf numFmtId="0" fontId="27" fillId="0" borderId="21" xfId="1" applyFont="1" applyFill="1" applyBorder="1" applyAlignment="1">
      <alignment horizontal="center"/>
    </xf>
    <xf numFmtId="0" fontId="27" fillId="0" borderId="21" xfId="1" applyFont="1" applyFill="1" applyBorder="1" applyAlignment="1">
      <alignment horizontal="left" indent="10"/>
    </xf>
    <xf numFmtId="0" fontId="19" fillId="0" borderId="21" xfId="1" applyFont="1" applyFill="1" applyBorder="1"/>
    <xf numFmtId="10" fontId="25" fillId="0" borderId="19" xfId="41" applyNumberFormat="1" applyFont="1" applyFill="1" applyBorder="1"/>
    <xf numFmtId="0" fontId="19" fillId="0" borderId="26" xfId="1" applyFont="1" applyFill="1" applyBorder="1"/>
    <xf numFmtId="0" fontId="25" fillId="0" borderId="38" xfId="1" applyFont="1" applyFill="1" applyBorder="1" applyAlignment="1">
      <alignment horizontal="right"/>
    </xf>
    <xf numFmtId="0" fontId="27" fillId="0" borderId="21" xfId="1" applyFont="1" applyFill="1" applyBorder="1" applyAlignment="1">
      <alignment horizontal="right"/>
    </xf>
    <xf numFmtId="166" fontId="25" fillId="0" borderId="10" xfId="29" applyNumberFormat="1" applyFont="1" applyFill="1" applyBorder="1"/>
    <xf numFmtId="167" fontId="0" fillId="0" borderId="0" xfId="0" applyNumberFormat="1"/>
    <xf numFmtId="0" fontId="0" fillId="0" borderId="0" xfId="0" applyFill="1"/>
    <xf numFmtId="166" fontId="23" fillId="0" borderId="0" xfId="29" applyNumberFormat="1" applyFont="1" applyFill="1" applyBorder="1"/>
    <xf numFmtId="0" fontId="25" fillId="0" borderId="16" xfId="1" applyFont="1" applyFill="1" applyBorder="1" applyAlignment="1">
      <alignment horizontal="center"/>
    </xf>
    <xf numFmtId="0" fontId="1" fillId="0" borderId="0" xfId="1" applyBorder="1"/>
    <xf numFmtId="0" fontId="0" fillId="0" borderId="0" xfId="0" applyBorder="1"/>
    <xf numFmtId="0" fontId="23" fillId="0" borderId="34" xfId="1" applyFont="1" applyFill="1" applyBorder="1"/>
    <xf numFmtId="0" fontId="23" fillId="0" borderId="16" xfId="1" applyFont="1" applyFill="1" applyBorder="1"/>
    <xf numFmtId="0" fontId="23" fillId="0" borderId="36" xfId="1" applyFont="1" applyFill="1" applyBorder="1"/>
    <xf numFmtId="0" fontId="25" fillId="0" borderId="23" xfId="1" applyFont="1" applyFill="1" applyBorder="1" applyAlignment="1">
      <alignment horizontal="center"/>
    </xf>
    <xf numFmtId="9" fontId="25" fillId="0" borderId="20" xfId="1" applyNumberFormat="1" applyFont="1" applyFill="1" applyBorder="1" applyAlignment="1">
      <alignment horizontal="center"/>
    </xf>
    <xf numFmtId="9" fontId="25" fillId="0" borderId="26" xfId="1" applyNumberFormat="1" applyFont="1" applyFill="1" applyBorder="1" applyAlignment="1">
      <alignment horizontal="center"/>
    </xf>
    <xf numFmtId="0" fontId="23" fillId="0" borderId="23" xfId="1" applyFont="1" applyFill="1" applyBorder="1"/>
    <xf numFmtId="0" fontId="23" fillId="0" borderId="14" xfId="1" applyFont="1" applyFill="1" applyBorder="1"/>
    <xf numFmtId="0" fontId="23" fillId="0" borderId="39" xfId="1" applyFont="1" applyFill="1" applyBorder="1"/>
    <xf numFmtId="0" fontId="23" fillId="0" borderId="0" xfId="1" applyFont="1" applyFill="1" applyBorder="1" applyAlignment="1">
      <alignment horizontal="center"/>
    </xf>
    <xf numFmtId="0" fontId="23" fillId="0" borderId="13" xfId="1" applyFont="1" applyFill="1" applyBorder="1" applyAlignment="1">
      <alignment horizontal="center"/>
    </xf>
    <xf numFmtId="2" fontId="27" fillId="0" borderId="19" xfId="1" applyNumberFormat="1" applyFont="1" applyFill="1" applyBorder="1" applyAlignment="1">
      <alignment wrapText="1"/>
    </xf>
    <xf numFmtId="0" fontId="19" fillId="0" borderId="19" xfId="1" applyFont="1" applyFill="1" applyBorder="1"/>
    <xf numFmtId="0" fontId="27" fillId="0" borderId="19" xfId="1" applyFont="1" applyFill="1" applyBorder="1" applyAlignment="1">
      <alignment horizontal="left"/>
    </xf>
    <xf numFmtId="0" fontId="27" fillId="0" borderId="26" xfId="1" applyFont="1" applyFill="1" applyBorder="1"/>
    <xf numFmtId="0" fontId="32" fillId="0" borderId="0" xfId="1" applyFont="1"/>
    <xf numFmtId="166" fontId="23" fillId="0" borderId="21" xfId="29" applyNumberFormat="1" applyFont="1" applyFill="1" applyBorder="1"/>
    <xf numFmtId="166" fontId="23" fillId="0" borderId="19" xfId="29" applyNumberFormat="1" applyFont="1" applyFill="1" applyBorder="1"/>
    <xf numFmtId="166" fontId="23" fillId="0" borderId="20" xfId="29" applyNumberFormat="1" applyFont="1" applyFill="1" applyBorder="1"/>
    <xf numFmtId="166" fontId="23" fillId="0" borderId="13" xfId="29" applyNumberFormat="1" applyFont="1" applyFill="1" applyBorder="1"/>
    <xf numFmtId="166" fontId="23" fillId="0" borderId="26" xfId="29" applyNumberFormat="1" applyFont="1" applyFill="1" applyBorder="1"/>
    <xf numFmtId="166" fontId="23" fillId="0" borderId="16" xfId="29" applyNumberFormat="1" applyFont="1" applyFill="1" applyBorder="1"/>
    <xf numFmtId="166" fontId="23" fillId="0" borderId="15" xfId="29" applyNumberFormat="1" applyFont="1" applyFill="1" applyBorder="1"/>
    <xf numFmtId="166" fontId="23" fillId="0" borderId="38" xfId="29" applyNumberFormat="1" applyFont="1" applyFill="1" applyBorder="1"/>
    <xf numFmtId="166" fontId="23" fillId="0" borderId="21" xfId="29" applyNumberFormat="1" applyFont="1" applyFill="1" applyBorder="1" applyAlignment="1">
      <alignment horizontal="center"/>
    </xf>
    <xf numFmtId="166" fontId="23" fillId="0" borderId="19" xfId="29" applyNumberFormat="1" applyFont="1" applyFill="1" applyBorder="1" applyAlignment="1">
      <alignment horizontal="center"/>
    </xf>
    <xf numFmtId="166" fontId="23" fillId="0" borderId="20" xfId="29" applyNumberFormat="1" applyFont="1" applyFill="1" applyBorder="1" applyAlignment="1">
      <alignment horizontal="center"/>
    </xf>
    <xf numFmtId="166" fontId="23" fillId="0" borderId="26" xfId="29" applyNumberFormat="1" applyFont="1" applyFill="1" applyBorder="1" applyAlignment="1">
      <alignment horizontal="center"/>
    </xf>
    <xf numFmtId="166" fontId="25" fillId="0" borderId="20" xfId="29" applyNumberFormat="1" applyFont="1" applyFill="1" applyBorder="1" applyAlignment="1">
      <alignment horizontal="center"/>
    </xf>
    <xf numFmtId="166" fontId="25" fillId="0" borderId="26" xfId="29" applyNumberFormat="1" applyFont="1" applyFill="1" applyBorder="1" applyAlignment="1">
      <alignment horizontal="center"/>
    </xf>
    <xf numFmtId="166" fontId="23" fillId="0" borderId="10" xfId="29" applyNumberFormat="1" applyFont="1" applyFill="1" applyBorder="1" applyAlignment="1">
      <alignment horizontal="center"/>
    </xf>
    <xf numFmtId="166" fontId="23" fillId="0" borderId="12" xfId="29" applyNumberFormat="1" applyFont="1" applyFill="1" applyBorder="1" applyAlignment="1">
      <alignment horizontal="center"/>
    </xf>
    <xf numFmtId="166" fontId="23" fillId="0" borderId="0" xfId="29" applyNumberFormat="1" applyFont="1" applyFill="1" applyBorder="1" applyAlignment="1">
      <alignment horizontal="center"/>
    </xf>
    <xf numFmtId="166" fontId="23" fillId="0" borderId="10" xfId="29" applyNumberFormat="1" applyFont="1" applyFill="1" applyBorder="1"/>
    <xf numFmtId="166" fontId="23" fillId="0" borderId="12" xfId="29" applyNumberFormat="1" applyFont="1" applyFill="1" applyBorder="1"/>
    <xf numFmtId="166" fontId="23" fillId="0" borderId="30" xfId="29" applyNumberFormat="1" applyFont="1" applyFill="1" applyBorder="1"/>
    <xf numFmtId="166" fontId="25" fillId="0" borderId="11" xfId="29" applyNumberFormat="1" applyFont="1" applyFill="1" applyBorder="1"/>
    <xf numFmtId="166" fontId="25" fillId="0" borderId="40" xfId="29" applyNumberFormat="1" applyFont="1" applyFill="1" applyBorder="1"/>
    <xf numFmtId="166" fontId="25" fillId="0" borderId="12" xfId="29" applyNumberFormat="1" applyFont="1" applyFill="1" applyBorder="1"/>
    <xf numFmtId="166" fontId="25" fillId="0" borderId="0" xfId="29" applyNumberFormat="1" applyFont="1" applyFill="1" applyBorder="1"/>
    <xf numFmtId="166" fontId="25" fillId="0" borderId="31" xfId="29" applyNumberFormat="1" applyFont="1" applyFill="1" applyBorder="1"/>
    <xf numFmtId="166" fontId="25" fillId="0" borderId="37" xfId="29" applyNumberFormat="1" applyFont="1" applyFill="1" applyBorder="1"/>
    <xf numFmtId="166" fontId="25" fillId="0" borderId="32" xfId="29" applyNumberFormat="1" applyFont="1" applyFill="1" applyBorder="1"/>
    <xf numFmtId="166" fontId="23" fillId="0" borderId="21" xfId="29" applyNumberFormat="1" applyFont="1" applyFill="1" applyBorder="1" applyAlignment="1">
      <alignment horizontal="right"/>
    </xf>
    <xf numFmtId="166" fontId="23" fillId="0" borderId="24" xfId="29" applyNumberFormat="1" applyFont="1" applyFill="1" applyBorder="1" applyAlignment="1">
      <alignment horizontal="right"/>
    </xf>
    <xf numFmtId="166" fontId="23" fillId="0" borderId="20" xfId="29" applyNumberFormat="1" applyFont="1" applyFill="1" applyBorder="1" applyAlignment="1">
      <alignment horizontal="right"/>
    </xf>
    <xf numFmtId="166" fontId="23" fillId="0" borderId="13" xfId="29" applyNumberFormat="1" applyFont="1" applyFill="1" applyBorder="1" applyAlignment="1">
      <alignment horizontal="right"/>
    </xf>
    <xf numFmtId="166" fontId="23" fillId="0" borderId="25" xfId="29" applyNumberFormat="1" applyFont="1" applyFill="1" applyBorder="1" applyAlignment="1">
      <alignment horizontal="right"/>
    </xf>
    <xf numFmtId="166" fontId="25" fillId="0" borderId="16" xfId="29" applyNumberFormat="1" applyFont="1" applyFill="1" applyBorder="1" applyAlignment="1">
      <alignment horizontal="right"/>
    </xf>
    <xf numFmtId="166" fontId="25" fillId="0" borderId="38" xfId="29" applyNumberFormat="1" applyFont="1" applyFill="1" applyBorder="1" applyAlignment="1">
      <alignment horizontal="right"/>
    </xf>
    <xf numFmtId="166" fontId="27" fillId="0" borderId="19" xfId="29" applyNumberFormat="1" applyFont="1" applyFill="1" applyBorder="1" applyAlignment="1">
      <alignment horizontal="center"/>
    </xf>
    <xf numFmtId="166" fontId="27" fillId="0" borderId="43" xfId="29" applyNumberFormat="1" applyFont="1" applyFill="1" applyBorder="1" applyAlignment="1">
      <alignment horizontal="center"/>
    </xf>
    <xf numFmtId="166" fontId="27" fillId="0" borderId="41" xfId="29" applyNumberFormat="1" applyFont="1" applyFill="1" applyBorder="1" applyAlignment="1">
      <alignment horizontal="center"/>
    </xf>
    <xf numFmtId="166" fontId="27" fillId="0" borderId="19" xfId="29" applyNumberFormat="1" applyFont="1" applyFill="1" applyBorder="1"/>
    <xf numFmtId="0" fontId="20" fillId="0" borderId="10" xfId="1" applyFont="1" applyFill="1" applyBorder="1" applyAlignment="1">
      <alignment horizontal="left" vertical="center"/>
    </xf>
    <xf numFmtId="2" fontId="23" fillId="0" borderId="10" xfId="1" applyNumberFormat="1" applyFont="1" applyFill="1" applyBorder="1"/>
    <xf numFmtId="2" fontId="23" fillId="0" borderId="10" xfId="29" applyNumberFormat="1" applyFont="1" applyFill="1" applyBorder="1"/>
    <xf numFmtId="2" fontId="23" fillId="0" borderId="36" xfId="29" applyNumberFormat="1" applyFont="1" applyFill="1" applyBorder="1"/>
    <xf numFmtId="2" fontId="23" fillId="0" borderId="0" xfId="29" applyNumberFormat="1" applyFont="1" applyFill="1" applyBorder="1"/>
    <xf numFmtId="2" fontId="25" fillId="0" borderId="10" xfId="1" applyNumberFormat="1" applyFont="1" applyFill="1" applyBorder="1"/>
    <xf numFmtId="2" fontId="23" fillId="0" borderId="12" xfId="29" applyNumberFormat="1" applyFont="1" applyFill="1" applyBorder="1"/>
    <xf numFmtId="2" fontId="25" fillId="0" borderId="10" xfId="1" applyNumberFormat="1" applyFont="1" applyFill="1" applyBorder="1" applyAlignment="1">
      <alignment horizontal="right"/>
    </xf>
    <xf numFmtId="2" fontId="25" fillId="0" borderId="10" xfId="29" applyNumberFormat="1" applyFont="1" applyFill="1" applyBorder="1"/>
    <xf numFmtId="2" fontId="25" fillId="0" borderId="12" xfId="29" applyNumberFormat="1" applyFont="1" applyFill="1" applyBorder="1"/>
    <xf numFmtId="2" fontId="25" fillId="0" borderId="0" xfId="29" applyNumberFormat="1" applyFont="1" applyFill="1" applyBorder="1"/>
    <xf numFmtId="2" fontId="23" fillId="0" borderId="30" xfId="29" applyNumberFormat="1" applyFont="1" applyFill="1" applyBorder="1"/>
    <xf numFmtId="2" fontId="23" fillId="0" borderId="34" xfId="29" applyNumberFormat="1" applyFont="1" applyFill="1" applyBorder="1"/>
    <xf numFmtId="2" fontId="23" fillId="0" borderId="31" xfId="29" applyNumberFormat="1" applyFont="1" applyFill="1" applyBorder="1"/>
    <xf numFmtId="2" fontId="23" fillId="0" borderId="37" xfId="29" applyNumberFormat="1" applyFont="1" applyFill="1" applyBorder="1"/>
    <xf numFmtId="2" fontId="23" fillId="0" borderId="32" xfId="29" applyNumberFormat="1" applyFont="1" applyFill="1" applyBorder="1"/>
    <xf numFmtId="0" fontId="25" fillId="0" borderId="29" xfId="1" applyFont="1" applyFill="1" applyBorder="1" applyAlignment="1">
      <alignment horizontal="center"/>
    </xf>
    <xf numFmtId="0" fontId="25" fillId="0" borderId="34" xfId="1" applyFont="1" applyFill="1" applyBorder="1" applyAlignment="1">
      <alignment horizontal="center"/>
    </xf>
    <xf numFmtId="0" fontId="25" fillId="0" borderId="16" xfId="1" applyFont="1" applyFill="1" applyBorder="1" applyAlignment="1">
      <alignment horizontal="center"/>
    </xf>
    <xf numFmtId="0" fontId="25" fillId="0" borderId="15" xfId="1" applyFont="1" applyFill="1" applyBorder="1" applyAlignment="1">
      <alignment horizontal="center"/>
    </xf>
    <xf numFmtId="0" fontId="25" fillId="0" borderId="17" xfId="1" applyFont="1" applyFill="1" applyBorder="1" applyAlignment="1">
      <alignment horizontal="center"/>
    </xf>
    <xf numFmtId="0" fontId="35" fillId="0" borderId="0" xfId="47" applyFont="1" applyBorder="1"/>
    <xf numFmtId="0" fontId="35" fillId="0" borderId="0" xfId="47" applyFont="1"/>
    <xf numFmtId="0" fontId="20" fillId="0" borderId="0" xfId="47" applyFont="1" applyBorder="1"/>
    <xf numFmtId="0" fontId="19" fillId="0" borderId="0" xfId="47" applyFont="1" applyBorder="1"/>
    <xf numFmtId="0" fontId="19" fillId="0" borderId="0" xfId="47" applyFont="1"/>
    <xf numFmtId="0" fontId="19" fillId="0" borderId="0" xfId="47" applyFont="1" applyBorder="1" applyAlignment="1">
      <alignment horizontal="center"/>
    </xf>
    <xf numFmtId="0" fontId="20" fillId="0" borderId="0" xfId="47" applyFont="1" applyBorder="1" applyAlignment="1">
      <alignment horizontal="center"/>
    </xf>
    <xf numFmtId="0" fontId="37" fillId="0" borderId="0" xfId="47" applyFont="1" applyBorder="1"/>
    <xf numFmtId="0" fontId="19" fillId="0" borderId="0" xfId="47" applyFont="1" applyBorder="1" applyAlignment="1">
      <alignment horizontal="right"/>
    </xf>
    <xf numFmtId="0" fontId="20" fillId="0" borderId="0" xfId="47" applyFont="1" applyFill="1" applyBorder="1" applyAlignment="1">
      <alignment horizontal="center"/>
    </xf>
    <xf numFmtId="0" fontId="19" fillId="0" borderId="0" xfId="47" applyFont="1" applyFill="1" applyBorder="1"/>
    <xf numFmtId="0" fontId="20" fillId="0" borderId="0" xfId="47" applyFont="1" applyFill="1" applyBorder="1"/>
    <xf numFmtId="166" fontId="19" fillId="0" borderId="0" xfId="48" applyFont="1" applyFill="1" applyBorder="1" applyAlignment="1">
      <alignment horizontal="center"/>
    </xf>
    <xf numFmtId="166" fontId="19" fillId="0" borderId="0" xfId="47" applyNumberFormat="1" applyFont="1" applyBorder="1"/>
    <xf numFmtId="166" fontId="19" fillId="0" borderId="0" xfId="48" applyFont="1" applyBorder="1" applyAlignment="1">
      <alignment horizontal="center"/>
    </xf>
    <xf numFmtId="0" fontId="19" fillId="0" borderId="0" xfId="47" applyFont="1" applyBorder="1" applyAlignment="1">
      <alignment horizontal="left"/>
    </xf>
    <xf numFmtId="47" fontId="19" fillId="0" borderId="0" xfId="47" applyNumberFormat="1" applyFont="1" applyBorder="1"/>
    <xf numFmtId="2" fontId="19" fillId="0" borderId="0" xfId="47" applyNumberFormat="1" applyFont="1" applyBorder="1"/>
    <xf numFmtId="0" fontId="19" fillId="0" borderId="0" xfId="47" applyFont="1" applyAlignment="1">
      <alignment horizontal="left"/>
    </xf>
    <xf numFmtId="0" fontId="20" fillId="0" borderId="0" xfId="47" applyFont="1"/>
    <xf numFmtId="166" fontId="19" fillId="0" borderId="0" xfId="48" applyFont="1" applyAlignment="1">
      <alignment horizontal="center"/>
    </xf>
    <xf numFmtId="39" fontId="20" fillId="0" borderId="0" xfId="48" applyNumberFormat="1" applyFont="1" applyAlignment="1">
      <alignment horizontal="right"/>
    </xf>
    <xf numFmtId="166" fontId="19" fillId="0" borderId="0" xfId="48" applyFont="1" applyAlignment="1">
      <alignment horizontal="left"/>
    </xf>
    <xf numFmtId="0" fontId="20" fillId="0" borderId="0" xfId="47" applyFont="1" applyBorder="1" applyAlignment="1">
      <alignment horizontal="center"/>
    </xf>
    <xf numFmtId="0" fontId="20" fillId="0" borderId="11" xfId="47" applyFont="1" applyBorder="1" applyAlignment="1">
      <alignment horizontal="center"/>
    </xf>
    <xf numFmtId="0" fontId="20" fillId="0" borderId="27" xfId="47" applyFont="1" applyBorder="1" applyAlignment="1">
      <alignment horizontal="center"/>
    </xf>
    <xf numFmtId="0" fontId="20" fillId="0" borderId="40" xfId="47" applyFont="1" applyBorder="1" applyAlignment="1">
      <alignment horizontal="center"/>
    </xf>
    <xf numFmtId="0" fontId="19" fillId="0" borderId="10" xfId="47" applyFont="1" applyBorder="1"/>
    <xf numFmtId="166" fontId="19" fillId="0" borderId="12" xfId="48" applyFont="1" applyBorder="1" applyAlignment="1">
      <alignment horizontal="center"/>
    </xf>
    <xf numFmtId="166" fontId="19" fillId="0" borderId="0" xfId="48" applyFont="1" applyBorder="1"/>
    <xf numFmtId="43" fontId="19" fillId="0" borderId="0" xfId="47" applyNumberFormat="1" applyFont="1" applyBorder="1"/>
    <xf numFmtId="43" fontId="19" fillId="0" borderId="12" xfId="47" applyNumberFormat="1" applyFont="1" applyBorder="1"/>
    <xf numFmtId="166" fontId="20" fillId="0" borderId="0" xfId="47" applyNumberFormat="1" applyFont="1" applyBorder="1" applyAlignment="1">
      <alignment horizontal="center"/>
    </xf>
    <xf numFmtId="0" fontId="20" fillId="0" borderId="0" xfId="47" applyFont="1" applyAlignment="1">
      <alignment horizontal="center"/>
    </xf>
    <xf numFmtId="166" fontId="19" fillId="0" borderId="0" xfId="47" quotePrefix="1" applyNumberFormat="1" applyFont="1" applyAlignment="1"/>
    <xf numFmtId="166" fontId="20" fillId="0" borderId="0" xfId="48" applyFont="1" applyAlignment="1">
      <alignment horizontal="center"/>
    </xf>
    <xf numFmtId="47" fontId="19" fillId="0" borderId="0" xfId="47" applyNumberFormat="1" applyFont="1"/>
    <xf numFmtId="166" fontId="19" fillId="0" borderId="0" xfId="48" applyFont="1"/>
    <xf numFmtId="167" fontId="20" fillId="0" borderId="0" xfId="48" applyNumberFormat="1" applyFont="1" applyAlignment="1">
      <alignment horizontal="right"/>
    </xf>
    <xf numFmtId="166" fontId="19" fillId="0" borderId="0" xfId="47" applyNumberFormat="1" applyFont="1" applyAlignment="1">
      <alignment horizontal="left"/>
    </xf>
    <xf numFmtId="0" fontId="25" fillId="0" borderId="36" xfId="1" applyFont="1" applyFill="1" applyBorder="1" applyAlignment="1">
      <alignment horizontal="center"/>
    </xf>
    <xf numFmtId="2" fontId="23" fillId="0" borderId="33" xfId="29" applyNumberFormat="1" applyFont="1" applyFill="1" applyBorder="1"/>
    <xf numFmtId="0" fontId="38" fillId="0" borderId="0" xfId="47" applyFont="1" applyBorder="1"/>
    <xf numFmtId="0" fontId="39" fillId="0" borderId="0" xfId="47" applyFont="1" applyBorder="1"/>
    <xf numFmtId="0" fontId="40" fillId="0" borderId="0" xfId="47" applyFont="1" applyBorder="1" applyAlignment="1">
      <alignment horizontal="left"/>
    </xf>
    <xf numFmtId="0" fontId="41" fillId="0" borderId="0" xfId="47" applyFont="1" applyBorder="1"/>
    <xf numFmtId="0" fontId="42" fillId="0" borderId="0" xfId="47" applyFont="1" applyBorder="1"/>
    <xf numFmtId="0" fontId="38" fillId="0" borderId="0" xfId="47" applyFont="1" applyBorder="1" applyAlignment="1">
      <alignment horizontal="left"/>
    </xf>
    <xf numFmtId="0" fontId="20" fillId="0" borderId="28" xfId="47" applyFont="1" applyBorder="1" applyAlignment="1">
      <alignment horizontal="center"/>
    </xf>
    <xf numFmtId="0" fontId="19" fillId="0" borderId="29" xfId="47" applyFont="1" applyBorder="1"/>
    <xf numFmtId="0" fontId="20" fillId="0" borderId="35" xfId="47" applyFont="1" applyBorder="1" applyAlignment="1">
      <alignment horizontal="center"/>
    </xf>
    <xf numFmtId="0" fontId="20" fillId="0" borderId="30" xfId="47" applyFont="1" applyBorder="1" applyAlignment="1">
      <alignment horizontal="center"/>
    </xf>
    <xf numFmtId="0" fontId="20" fillId="0" borderId="11" xfId="47" applyFont="1" applyBorder="1"/>
    <xf numFmtId="166" fontId="20" fillId="0" borderId="40" xfId="48" applyFont="1" applyBorder="1" applyAlignment="1">
      <alignment horizontal="center"/>
    </xf>
    <xf numFmtId="43" fontId="20" fillId="0" borderId="40" xfId="47" applyNumberFormat="1" applyFont="1" applyBorder="1"/>
    <xf numFmtId="0" fontId="20" fillId="0" borderId="0" xfId="47" applyFont="1" applyAlignment="1"/>
    <xf numFmtId="0" fontId="19" fillId="0" borderId="0" xfId="47" applyFont="1" applyAlignment="1"/>
    <xf numFmtId="0" fontId="25" fillId="0" borderId="0" xfId="1" applyFont="1" applyFill="1" applyBorder="1" applyAlignment="1">
      <alignment horizontal="right" vertical="center"/>
    </xf>
    <xf numFmtId="0" fontId="25" fillId="0" borderId="0" xfId="1" applyFont="1" applyFill="1" applyBorder="1" applyAlignment="1">
      <alignment horizontal="right"/>
    </xf>
    <xf numFmtId="0" fontId="25" fillId="0" borderId="0" xfId="1" applyFont="1" applyFill="1" applyAlignment="1">
      <alignment horizontal="right"/>
    </xf>
    <xf numFmtId="0" fontId="33" fillId="0" borderId="0" xfId="0" applyFont="1"/>
    <xf numFmtId="0" fontId="44" fillId="0" borderId="13" xfId="1" applyFont="1" applyFill="1" applyBorder="1" applyAlignment="1">
      <alignment horizontal="right"/>
    </xf>
    <xf numFmtId="166" fontId="23" fillId="0" borderId="19" xfId="45" applyFont="1" applyFill="1" applyBorder="1"/>
    <xf numFmtId="0" fontId="25" fillId="0" borderId="0" xfId="1" applyFont="1"/>
    <xf numFmtId="2" fontId="20" fillId="0" borderId="0" xfId="47" applyNumberFormat="1" applyFont="1" applyBorder="1" applyAlignment="1">
      <alignment horizontal="left"/>
    </xf>
    <xf numFmtId="0" fontId="20" fillId="0" borderId="0" xfId="47" applyFont="1" applyBorder="1" applyAlignment="1">
      <alignment horizontal="left"/>
    </xf>
    <xf numFmtId="0" fontId="0" fillId="0" borderId="0" xfId="0" applyAlignment="1"/>
    <xf numFmtId="0" fontId="22" fillId="0" borderId="0" xfId="1" applyFont="1" applyFill="1" applyAlignment="1"/>
    <xf numFmtId="0" fontId="33" fillId="0" borderId="0" xfId="0" applyFont="1" applyAlignment="1"/>
    <xf numFmtId="0" fontId="25" fillId="0" borderId="15" xfId="1" applyFont="1" applyFill="1" applyBorder="1" applyAlignment="1"/>
    <xf numFmtId="0" fontId="25" fillId="0" borderId="17" xfId="1" applyFont="1" applyFill="1" applyBorder="1" applyAlignment="1"/>
    <xf numFmtId="166" fontId="25" fillId="0" borderId="15" xfId="29" applyNumberFormat="1" applyFont="1" applyFill="1" applyBorder="1" applyAlignment="1">
      <alignment horizontal="right"/>
    </xf>
    <xf numFmtId="0" fontId="20" fillId="0" borderId="27" xfId="1" applyFont="1" applyFill="1" applyBorder="1" applyAlignment="1"/>
    <xf numFmtId="0" fontId="20" fillId="0" borderId="28" xfId="1" applyFont="1" applyFill="1" applyBorder="1" applyAlignment="1"/>
    <xf numFmtId="0" fontId="23" fillId="0" borderId="21" xfId="1" applyFont="1" applyBorder="1"/>
    <xf numFmtId="0" fontId="30" fillId="0" borderId="21" xfId="1" applyFont="1" applyBorder="1"/>
    <xf numFmtId="0" fontId="23" fillId="0" borderId="21" xfId="1" applyFont="1" applyFill="1" applyBorder="1" applyAlignment="1">
      <alignment horizontal="center"/>
    </xf>
    <xf numFmtId="0" fontId="23" fillId="0" borderId="20" xfId="1" applyFont="1" applyFill="1" applyBorder="1" applyAlignment="1">
      <alignment horizontal="center"/>
    </xf>
    <xf numFmtId="0" fontId="27" fillId="0" borderId="21" xfId="1" applyFont="1" applyFill="1" applyBorder="1" applyAlignment="1">
      <alignment horizontal="left" wrapText="1"/>
    </xf>
    <xf numFmtId="0" fontId="20" fillId="0" borderId="0" xfId="1" applyFont="1" applyFill="1" applyBorder="1" applyAlignment="1"/>
    <xf numFmtId="0" fontId="20" fillId="0" borderId="0" xfId="47" applyFont="1" applyBorder="1" applyAlignment="1"/>
    <xf numFmtId="39" fontId="19" fillId="0" borderId="0" xfId="47" applyNumberFormat="1" applyFont="1" applyFill="1" applyBorder="1"/>
    <xf numFmtId="0" fontId="25" fillId="0" borderId="0" xfId="1" applyFont="1" applyFill="1" applyAlignment="1">
      <alignment horizontal="center"/>
    </xf>
    <xf numFmtId="0" fontId="21" fillId="0" borderId="0" xfId="1" applyFont="1"/>
    <xf numFmtId="0" fontId="26" fillId="0" borderId="0" xfId="1" applyFont="1" applyAlignment="1">
      <alignment horizontal="center"/>
    </xf>
    <xf numFmtId="0" fontId="45" fillId="0" borderId="0" xfId="1" applyFont="1" applyAlignment="1">
      <alignment horizontal="center"/>
    </xf>
    <xf numFmtId="0" fontId="21" fillId="0" borderId="0" xfId="1" applyFont="1" applyBorder="1"/>
    <xf numFmtId="0" fontId="20" fillId="0" borderId="0" xfId="1" applyFont="1" applyBorder="1"/>
    <xf numFmtId="0" fontId="44" fillId="0" borderId="0" xfId="1" applyFont="1" applyBorder="1" applyAlignment="1">
      <alignment horizontal="center"/>
    </xf>
    <xf numFmtId="0" fontId="21" fillId="0" borderId="0" xfId="1" applyFont="1" applyBorder="1" applyAlignment="1">
      <alignment horizontal="center"/>
    </xf>
    <xf numFmtId="0" fontId="44" fillId="0" borderId="0" xfId="1" applyFont="1" applyFill="1" applyBorder="1" applyAlignment="1">
      <alignment horizontal="center"/>
    </xf>
    <xf numFmtId="0" fontId="44" fillId="0" borderId="0" xfId="1" applyFont="1" applyAlignment="1">
      <alignment horizontal="center"/>
    </xf>
    <xf numFmtId="0" fontId="44" fillId="0" borderId="0" xfId="1" applyFont="1"/>
    <xf numFmtId="0" fontId="44" fillId="0" borderId="0" xfId="1" applyFont="1" applyBorder="1" applyAlignment="1">
      <alignment horizontal="right"/>
    </xf>
    <xf numFmtId="0" fontId="25" fillId="0" borderId="40" xfId="1" applyFont="1" applyFill="1" applyBorder="1" applyAlignment="1">
      <alignment horizontal="center"/>
    </xf>
    <xf numFmtId="0" fontId="49" fillId="0" borderId="0" xfId="0" applyFont="1" applyAlignment="1"/>
    <xf numFmtId="0" fontId="50" fillId="0" borderId="0" xfId="0" applyFont="1"/>
    <xf numFmtId="0" fontId="51" fillId="0" borderId="0" xfId="1" applyFont="1"/>
    <xf numFmtId="0" fontId="24" fillId="0" borderId="0" xfId="1" applyFont="1" applyFill="1" applyAlignment="1">
      <alignment vertical="center"/>
    </xf>
    <xf numFmtId="2" fontId="23" fillId="0" borderId="12" xfId="1" applyNumberFormat="1" applyFont="1" applyFill="1" applyBorder="1"/>
    <xf numFmtId="167" fontId="23" fillId="0" borderId="0" xfId="45" applyNumberFormat="1" applyFont="1" applyFill="1" applyBorder="1"/>
    <xf numFmtId="167" fontId="23" fillId="0" borderId="12" xfId="45" applyNumberFormat="1" applyFont="1" applyFill="1" applyBorder="1"/>
    <xf numFmtId="166" fontId="23" fillId="0" borderId="0" xfId="45" applyNumberFormat="1" applyFont="1" applyFill="1" applyBorder="1"/>
    <xf numFmtId="166" fontId="23" fillId="0" borderId="12" xfId="45" applyNumberFormat="1" applyFont="1" applyFill="1" applyBorder="1"/>
    <xf numFmtId="166" fontId="23" fillId="0" borderId="12" xfId="29" applyNumberFormat="1" applyFont="1" applyFill="1" applyBorder="1" applyAlignment="1">
      <alignment horizontal="right"/>
    </xf>
    <xf numFmtId="166" fontId="23" fillId="0" borderId="44" xfId="29" applyNumberFormat="1" applyFont="1" applyFill="1" applyBorder="1" applyAlignment="1">
      <alignment horizontal="right"/>
    </xf>
    <xf numFmtId="0" fontId="25" fillId="0" borderId="21" xfId="1" applyFont="1" applyFill="1" applyBorder="1" applyAlignment="1">
      <alignment horizontal="left"/>
    </xf>
    <xf numFmtId="166" fontId="25" fillId="0" borderId="45" xfId="29" applyNumberFormat="1" applyFont="1" applyFill="1" applyBorder="1" applyAlignment="1">
      <alignment horizontal="right"/>
    </xf>
    <xf numFmtId="167" fontId="23" fillId="0" borderId="12" xfId="29" applyNumberFormat="1" applyFont="1" applyFill="1" applyBorder="1" applyAlignment="1">
      <alignment horizontal="right"/>
    </xf>
    <xf numFmtId="167" fontId="23" fillId="0" borderId="0" xfId="29" applyNumberFormat="1" applyFont="1" applyFill="1" applyBorder="1" applyAlignment="1">
      <alignment horizontal="right"/>
    </xf>
    <xf numFmtId="167" fontId="23" fillId="0" borderId="44" xfId="29" applyNumberFormat="1" applyFont="1" applyFill="1" applyBorder="1" applyAlignment="1">
      <alignment horizontal="right"/>
    </xf>
    <xf numFmtId="0" fontId="23" fillId="0" borderId="21" xfId="1" applyFont="1" applyFill="1" applyBorder="1" applyAlignment="1">
      <alignment horizontal="left"/>
    </xf>
    <xf numFmtId="0" fontId="25" fillId="0" borderId="16" xfId="1" applyFont="1" applyFill="1" applyBorder="1" applyAlignment="1">
      <alignment horizontal="left"/>
    </xf>
    <xf numFmtId="166" fontId="25" fillId="0" borderId="22" xfId="29" applyNumberFormat="1" applyFont="1" applyFill="1" applyBorder="1" applyAlignment="1">
      <alignment horizontal="right"/>
    </xf>
    <xf numFmtId="166" fontId="25" fillId="0" borderId="46" xfId="29" applyNumberFormat="1" applyFont="1" applyFill="1" applyBorder="1" applyAlignment="1">
      <alignment horizontal="right"/>
    </xf>
    <xf numFmtId="0" fontId="50" fillId="0" borderId="0" xfId="0" applyFont="1" applyBorder="1"/>
    <xf numFmtId="0" fontId="24" fillId="0" borderId="0" xfId="1" applyFont="1" applyFill="1" applyAlignment="1">
      <alignment horizontal="center"/>
    </xf>
    <xf numFmtId="0" fontId="28" fillId="0" borderId="0" xfId="1" applyFont="1" applyFill="1" applyAlignment="1">
      <alignment horizontal="center"/>
    </xf>
    <xf numFmtId="0" fontId="24" fillId="0" borderId="21" xfId="1" applyFont="1" applyFill="1" applyBorder="1"/>
    <xf numFmtId="0" fontId="25" fillId="0" borderId="21" xfId="1" applyFont="1" applyFill="1" applyBorder="1" applyAlignment="1">
      <alignment horizontal="center"/>
    </xf>
    <xf numFmtId="166" fontId="25" fillId="0" borderId="16" xfId="29" applyNumberFormat="1" applyFont="1" applyFill="1" applyBorder="1"/>
    <xf numFmtId="166" fontId="25" fillId="0" borderId="38" xfId="29" applyNumberFormat="1" applyFont="1" applyFill="1" applyBorder="1"/>
    <xf numFmtId="167" fontId="51" fillId="0" borderId="0" xfId="1" applyNumberFormat="1" applyFont="1"/>
    <xf numFmtId="166" fontId="23" fillId="0" borderId="18" xfId="29" applyNumberFormat="1" applyFont="1" applyFill="1" applyBorder="1"/>
    <xf numFmtId="167" fontId="50" fillId="0" borderId="0" xfId="0" applyNumberFormat="1" applyFont="1"/>
    <xf numFmtId="166" fontId="23" fillId="0" borderId="42" xfId="29" applyNumberFormat="1" applyFont="1" applyFill="1" applyBorder="1"/>
    <xf numFmtId="166" fontId="23" fillId="0" borderId="41" xfId="29" applyNumberFormat="1" applyFont="1" applyFill="1" applyBorder="1"/>
    <xf numFmtId="0" fontId="23" fillId="0" borderId="21" xfId="1" applyFont="1" applyFill="1" applyBorder="1" applyAlignment="1">
      <alignment horizontal="left" indent="2"/>
    </xf>
    <xf numFmtId="0" fontId="51" fillId="0" borderId="0" xfId="1" applyFont="1" applyBorder="1"/>
    <xf numFmtId="2" fontId="25" fillId="0" borderId="12" xfId="45" applyNumberFormat="1" applyFont="1" applyFill="1" applyBorder="1"/>
    <xf numFmtId="166" fontId="25" fillId="0" borderId="12" xfId="29" applyNumberFormat="1" applyFont="1" applyFill="1" applyBorder="1" applyAlignment="1">
      <alignment horizontal="right"/>
    </xf>
    <xf numFmtId="2" fontId="25" fillId="0" borderId="0" xfId="45" applyNumberFormat="1" applyFont="1" applyFill="1" applyBorder="1"/>
    <xf numFmtId="166" fontId="25" fillId="0" borderId="0" xfId="29" applyNumberFormat="1" applyFont="1" applyFill="1" applyBorder="1" applyAlignment="1">
      <alignment horizontal="right"/>
    </xf>
    <xf numFmtId="0" fontId="25" fillId="0" borderId="36" xfId="1" applyFont="1" applyBorder="1"/>
    <xf numFmtId="0" fontId="25" fillId="0" borderId="35" xfId="1" applyFont="1" applyBorder="1"/>
    <xf numFmtId="0" fontId="25" fillId="0" borderId="12" xfId="1" applyFont="1" applyBorder="1"/>
    <xf numFmtId="0" fontId="25" fillId="0" borderId="30" xfId="1" applyFont="1" applyBorder="1"/>
    <xf numFmtId="0" fontId="23" fillId="0" borderId="30" xfId="1" applyFont="1" applyBorder="1"/>
    <xf numFmtId="2" fontId="23" fillId="0" borderId="30" xfId="1" applyNumberFormat="1" applyFont="1" applyBorder="1" applyAlignment="1">
      <alignment horizontal="left" wrapText="1"/>
    </xf>
    <xf numFmtId="2" fontId="23" fillId="0" borderId="30" xfId="1" applyNumberFormat="1" applyFont="1" applyBorder="1" applyAlignment="1">
      <alignment horizontal="left"/>
    </xf>
    <xf numFmtId="0" fontId="25" fillId="0" borderId="37" xfId="1" applyFont="1" applyBorder="1"/>
    <xf numFmtId="2" fontId="23" fillId="0" borderId="37" xfId="1" applyNumberFormat="1" applyFont="1" applyBorder="1" applyAlignment="1">
      <alignment horizontal="left"/>
    </xf>
    <xf numFmtId="0" fontId="23" fillId="0" borderId="0" xfId="1" applyFont="1"/>
    <xf numFmtId="10" fontId="20" fillId="0" borderId="0" xfId="46" applyNumberFormat="1" applyFont="1" applyBorder="1" applyAlignment="1">
      <alignment horizontal="left"/>
    </xf>
    <xf numFmtId="0" fontId="20" fillId="0" borderId="0" xfId="47" applyFont="1" applyBorder="1" applyAlignment="1">
      <alignment horizontal="center"/>
    </xf>
    <xf numFmtId="0" fontId="20" fillId="0" borderId="0" xfId="47" applyFont="1" applyAlignment="1">
      <alignment horizontal="center"/>
    </xf>
    <xf numFmtId="166" fontId="0" fillId="0" borderId="0" xfId="0" applyNumberFormat="1"/>
    <xf numFmtId="166" fontId="0" fillId="0" borderId="0" xfId="45" applyFont="1"/>
    <xf numFmtId="169" fontId="0" fillId="0" borderId="0" xfId="45" applyNumberFormat="1" applyFont="1"/>
    <xf numFmtId="2" fontId="23" fillId="0" borderId="36" xfId="1" applyNumberFormat="1" applyFont="1" applyFill="1" applyBorder="1"/>
    <xf numFmtId="2" fontId="23" fillId="0" borderId="37" xfId="1" applyNumberFormat="1" applyFont="1" applyFill="1" applyBorder="1"/>
    <xf numFmtId="2" fontId="23" fillId="0" borderId="35" xfId="29" applyNumberFormat="1" applyFont="1" applyFill="1" applyBorder="1"/>
    <xf numFmtId="2" fontId="25" fillId="0" borderId="12" xfId="1" applyNumberFormat="1" applyFont="1" applyFill="1" applyBorder="1" applyAlignment="1">
      <alignment horizontal="right"/>
    </xf>
    <xf numFmtId="2" fontId="25" fillId="0" borderId="36" xfId="29" applyNumberFormat="1" applyFont="1" applyFill="1" applyBorder="1"/>
    <xf numFmtId="0" fontId="52" fillId="0" borderId="0" xfId="47" applyFont="1"/>
    <xf numFmtId="0" fontId="19" fillId="0" borderId="0" xfId="47" applyFont="1" applyAlignment="1">
      <alignment horizontal="center" vertical="center"/>
    </xf>
    <xf numFmtId="0" fontId="19" fillId="0" borderId="0" xfId="47" applyFont="1" applyAlignment="1">
      <alignment horizontal="right"/>
    </xf>
    <xf numFmtId="0" fontId="20" fillId="0" borderId="29" xfId="47" applyFont="1" applyBorder="1"/>
    <xf numFmtId="0" fontId="19" fillId="0" borderId="34" xfId="47" applyFont="1" applyBorder="1"/>
    <xf numFmtId="9" fontId="19" fillId="0" borderId="0" xfId="47" applyNumberFormat="1" applyFont="1" applyBorder="1" applyAlignment="1">
      <alignment horizontal="left"/>
    </xf>
    <xf numFmtId="9" fontId="19" fillId="0" borderId="0" xfId="47" applyNumberFormat="1" applyFont="1" applyAlignment="1">
      <alignment horizontal="left"/>
    </xf>
    <xf numFmtId="0" fontId="19" fillId="0" borderId="0" xfId="47" applyFont="1" applyAlignment="1">
      <alignment horizontal="center"/>
    </xf>
    <xf numFmtId="0" fontId="20" fillId="0" borderId="0" xfId="47" applyFont="1" applyAlignment="1">
      <alignment horizontal="center" vertical="center"/>
    </xf>
    <xf numFmtId="0" fontId="19" fillId="0" borderId="29" xfId="47" applyFont="1" applyBorder="1" applyAlignment="1">
      <alignment horizontal="left"/>
    </xf>
    <xf numFmtId="0" fontId="19" fillId="0" borderId="35" xfId="47" applyFont="1" applyBorder="1" applyAlignment="1">
      <alignment horizontal="center"/>
    </xf>
    <xf numFmtId="0" fontId="19" fillId="0" borderId="36" xfId="47" applyFont="1" applyBorder="1" applyAlignment="1">
      <alignment horizontal="center"/>
    </xf>
    <xf numFmtId="10" fontId="19" fillId="0" borderId="34" xfId="47" applyNumberFormat="1" applyFont="1" applyBorder="1" applyAlignment="1">
      <alignment horizontal="center"/>
    </xf>
    <xf numFmtId="0" fontId="19" fillId="0" borderId="31" xfId="47" applyFont="1" applyBorder="1" applyAlignment="1">
      <alignment horizontal="left"/>
    </xf>
    <xf numFmtId="0" fontId="19" fillId="0" borderId="31" xfId="47" applyFont="1" applyBorder="1"/>
    <xf numFmtId="0" fontId="19" fillId="0" borderId="33" xfId="47" applyFont="1" applyBorder="1" applyAlignment="1">
      <alignment horizontal="center"/>
    </xf>
    <xf numFmtId="0" fontId="19" fillId="0" borderId="37" xfId="47" applyFont="1" applyBorder="1" applyAlignment="1">
      <alignment horizontal="center"/>
    </xf>
    <xf numFmtId="10" fontId="19" fillId="0" borderId="32" xfId="47" applyNumberFormat="1" applyFont="1" applyBorder="1" applyAlignment="1">
      <alignment horizontal="center"/>
    </xf>
    <xf numFmtId="0" fontId="19" fillId="0" borderId="34" xfId="47" applyFont="1" applyBorder="1" applyAlignment="1">
      <alignment horizontal="center"/>
    </xf>
    <xf numFmtId="166" fontId="19" fillId="0" borderId="34" xfId="48" applyFont="1" applyBorder="1"/>
    <xf numFmtId="10" fontId="19" fillId="0" borderId="0" xfId="47" applyNumberFormat="1" applyFont="1" applyAlignment="1">
      <alignment horizontal="center"/>
    </xf>
    <xf numFmtId="0" fontId="19" fillId="0" borderId="12" xfId="47" applyFont="1" applyBorder="1" applyAlignment="1">
      <alignment horizontal="center"/>
    </xf>
    <xf numFmtId="0" fontId="19" fillId="0" borderId="40" xfId="47" applyFont="1" applyBorder="1" applyAlignment="1">
      <alignment horizontal="left"/>
    </xf>
    <xf numFmtId="0" fontId="19" fillId="0" borderId="27" xfId="47" applyFont="1" applyBorder="1"/>
    <xf numFmtId="0" fontId="19" fillId="0" borderId="27" xfId="47" applyFont="1" applyBorder="1" applyAlignment="1">
      <alignment horizontal="center"/>
    </xf>
    <xf numFmtId="0" fontId="19" fillId="0" borderId="40" xfId="47" applyFont="1" applyBorder="1" applyAlignment="1">
      <alignment horizontal="center"/>
    </xf>
    <xf numFmtId="166" fontId="19" fillId="0" borderId="40" xfId="48" applyFont="1" applyBorder="1" applyAlignment="1">
      <alignment horizontal="center"/>
    </xf>
    <xf numFmtId="0" fontId="20" fillId="0" borderId="0" xfId="47" applyFont="1" applyBorder="1" applyAlignment="1">
      <alignment horizontal="center" vertical="center"/>
    </xf>
    <xf numFmtId="2" fontId="19" fillId="0" borderId="34" xfId="47" applyNumberFormat="1" applyFont="1" applyBorder="1" applyAlignment="1">
      <alignment horizontal="left"/>
    </xf>
    <xf numFmtId="0" fontId="19" fillId="0" borderId="35" xfId="47" applyFont="1" applyBorder="1"/>
    <xf numFmtId="0" fontId="19" fillId="0" borderId="32" xfId="47" applyFont="1" applyBorder="1"/>
    <xf numFmtId="0" fontId="19" fillId="0" borderId="32" xfId="47" applyFont="1" applyBorder="1" applyAlignment="1">
      <alignment horizontal="center"/>
    </xf>
    <xf numFmtId="2" fontId="19" fillId="0" borderId="32" xfId="47" applyNumberFormat="1" applyFont="1" applyBorder="1" applyAlignment="1">
      <alignment horizontal="left"/>
    </xf>
    <xf numFmtId="0" fontId="19" fillId="0" borderId="33" xfId="47" applyFont="1" applyBorder="1"/>
    <xf numFmtId="2" fontId="19" fillId="0" borderId="0" xfId="47" applyNumberFormat="1" applyFont="1" applyBorder="1" applyAlignment="1">
      <alignment horizontal="left"/>
    </xf>
    <xf numFmtId="2" fontId="19" fillId="0" borderId="0" xfId="47" applyNumberFormat="1" applyFont="1" applyAlignment="1">
      <alignment horizontal="left"/>
    </xf>
    <xf numFmtId="0" fontId="19" fillId="0" borderId="35" xfId="47" applyFont="1" applyBorder="1" applyAlignment="1">
      <alignment horizontal="left"/>
    </xf>
    <xf numFmtId="0" fontId="19" fillId="0" borderId="30" xfId="47" applyFont="1" applyBorder="1" applyAlignment="1">
      <alignment horizontal="right"/>
    </xf>
    <xf numFmtId="166" fontId="19" fillId="0" borderId="30" xfId="48" applyFont="1" applyBorder="1" applyAlignment="1">
      <alignment horizontal="right"/>
    </xf>
    <xf numFmtId="166" fontId="19" fillId="0" borderId="30" xfId="47" applyNumberFormat="1" applyFont="1" applyBorder="1" applyAlignment="1">
      <alignment horizontal="left"/>
    </xf>
    <xf numFmtId="0" fontId="20" fillId="0" borderId="34" xfId="47" applyFont="1" applyBorder="1" applyAlignment="1">
      <alignment horizontal="center"/>
    </xf>
    <xf numFmtId="9" fontId="20" fillId="0" borderId="0" xfId="46" applyFont="1" applyBorder="1" applyAlignment="1">
      <alignment horizontal="left"/>
    </xf>
    <xf numFmtId="0" fontId="19" fillId="0" borderId="11" xfId="47" applyFont="1" applyBorder="1"/>
    <xf numFmtId="2" fontId="19" fillId="0" borderId="27" xfId="47" applyNumberFormat="1" applyFont="1" applyBorder="1" applyAlignment="1">
      <alignment horizontal="left"/>
    </xf>
    <xf numFmtId="0" fontId="19" fillId="0" borderId="28" xfId="47" applyFont="1" applyBorder="1"/>
    <xf numFmtId="0" fontId="55" fillId="0" borderId="0" xfId="0" applyFont="1"/>
    <xf numFmtId="168" fontId="19" fillId="0" borderId="0" xfId="45" applyNumberFormat="1" applyFont="1" applyFill="1" applyBorder="1" applyAlignment="1">
      <alignment horizontal="left"/>
    </xf>
    <xf numFmtId="0" fontId="20" fillId="0" borderId="0" xfId="47" applyFont="1" applyBorder="1" applyAlignment="1">
      <alignment horizontal="center"/>
    </xf>
    <xf numFmtId="0" fontId="46" fillId="0" borderId="0" xfId="0" applyFont="1"/>
    <xf numFmtId="0" fontId="33" fillId="0" borderId="0" xfId="0" applyFont="1" applyAlignment="1">
      <alignment horizontal="right"/>
    </xf>
    <xf numFmtId="166" fontId="50" fillId="0" borderId="0" xfId="0" applyNumberFormat="1" applyFont="1"/>
    <xf numFmtId="166" fontId="23" fillId="0" borderId="0" xfId="45" applyFont="1" applyFill="1" applyBorder="1" applyAlignment="1">
      <alignment horizontal="right"/>
    </xf>
    <xf numFmtId="166" fontId="23" fillId="0" borderId="44" xfId="45" applyFont="1" applyFill="1" applyBorder="1" applyAlignment="1">
      <alignment horizontal="right"/>
    </xf>
    <xf numFmtId="0" fontId="25" fillId="0" borderId="16" xfId="1" applyFont="1" applyFill="1" applyBorder="1" applyAlignment="1">
      <alignment horizontal="center"/>
    </xf>
    <xf numFmtId="0" fontId="25" fillId="0" borderId="15" xfId="1" applyFont="1" applyFill="1" applyBorder="1" applyAlignment="1">
      <alignment horizontal="center"/>
    </xf>
    <xf numFmtId="0" fontId="25" fillId="0" borderId="0" xfId="1" applyFont="1" applyFill="1" applyAlignment="1">
      <alignment horizontal="right"/>
    </xf>
    <xf numFmtId="0" fontId="59" fillId="0" borderId="0" xfId="0" applyFont="1"/>
    <xf numFmtId="0" fontId="60" fillId="0" borderId="0" xfId="1" applyFont="1"/>
    <xf numFmtId="0" fontId="24" fillId="0" borderId="0" xfId="1" applyFont="1"/>
    <xf numFmtId="0" fontId="28" fillId="0" borderId="0" xfId="1" applyFont="1" applyFill="1"/>
    <xf numFmtId="0" fontId="28" fillId="0" borderId="29" xfId="1" applyFont="1" applyFill="1" applyBorder="1"/>
    <xf numFmtId="0" fontId="28" fillId="0" borderId="34" xfId="1" applyFont="1" applyFill="1" applyBorder="1"/>
    <xf numFmtId="0" fontId="28" fillId="0" borderId="35" xfId="1" applyFont="1" applyFill="1" applyBorder="1"/>
    <xf numFmtId="0" fontId="28" fillId="0" borderId="0" xfId="1" applyFont="1" applyFill="1" applyBorder="1" applyAlignment="1">
      <alignment vertical="center"/>
    </xf>
    <xf numFmtId="0" fontId="28" fillId="0" borderId="30" xfId="1" applyFont="1" applyFill="1" applyBorder="1" applyAlignment="1">
      <alignment vertical="center"/>
    </xf>
    <xf numFmtId="164" fontId="28" fillId="0" borderId="0" xfId="1" applyNumberFormat="1" applyFont="1" applyFill="1" applyBorder="1" applyAlignment="1">
      <alignment vertical="center"/>
    </xf>
    <xf numFmtId="0" fontId="24" fillId="0" borderId="31" xfId="1" applyFont="1" applyFill="1" applyBorder="1"/>
    <xf numFmtId="0" fontId="28" fillId="0" borderId="32" xfId="1" applyFont="1" applyFill="1" applyBorder="1"/>
    <xf numFmtId="0" fontId="28" fillId="0" borderId="33" xfId="1" applyFont="1" applyFill="1" applyBorder="1"/>
    <xf numFmtId="0" fontId="24" fillId="0" borderId="0" xfId="1" applyFont="1" applyFill="1"/>
    <xf numFmtId="0" fontId="24" fillId="0" borderId="18" xfId="1" applyFont="1" applyFill="1" applyBorder="1" applyAlignment="1">
      <alignment horizontal="center"/>
    </xf>
    <xf numFmtId="0" fontId="24" fillId="0" borderId="20" xfId="1" applyFont="1" applyFill="1" applyBorder="1" applyAlignment="1">
      <alignment horizontal="center"/>
    </xf>
    <xf numFmtId="0" fontId="24" fillId="0" borderId="22" xfId="1" applyFont="1" applyFill="1" applyBorder="1" applyAlignment="1">
      <alignment horizontal="center"/>
    </xf>
    <xf numFmtId="0" fontId="24" fillId="0" borderId="38" xfId="1" applyFont="1" applyFill="1" applyBorder="1" applyAlignment="1">
      <alignment horizontal="center"/>
    </xf>
    <xf numFmtId="0" fontId="61" fillId="0" borderId="0" xfId="0" applyFont="1"/>
    <xf numFmtId="0" fontId="33" fillId="0" borderId="16" xfId="0" applyFont="1" applyBorder="1"/>
    <xf numFmtId="0" fontId="33" fillId="0" borderId="15" xfId="0" applyFont="1" applyBorder="1"/>
    <xf numFmtId="0" fontId="33" fillId="0" borderId="17" xfId="0" applyFont="1" applyBorder="1"/>
    <xf numFmtId="0" fontId="0" fillId="0" borderId="21" xfId="0" applyBorder="1"/>
    <xf numFmtId="164" fontId="0" fillId="0" borderId="0" xfId="0" applyNumberFormat="1" applyBorder="1"/>
    <xf numFmtId="165" fontId="0" fillId="0" borderId="24" xfId="50" applyFont="1" applyBorder="1"/>
    <xf numFmtId="164" fontId="0" fillId="0" borderId="24" xfId="0" applyNumberFormat="1" applyBorder="1"/>
    <xf numFmtId="0" fontId="0" fillId="0" borderId="20" xfId="0" applyBorder="1"/>
    <xf numFmtId="164" fontId="0" fillId="0" borderId="13" xfId="0" applyNumberFormat="1" applyBorder="1"/>
    <xf numFmtId="164" fontId="0" fillId="0" borderId="25" xfId="0" applyNumberFormat="1" applyBorder="1"/>
    <xf numFmtId="164" fontId="0" fillId="0" borderId="0" xfId="0" applyNumberFormat="1"/>
    <xf numFmtId="0" fontId="23" fillId="0" borderId="10" xfId="1" applyFont="1" applyBorder="1"/>
    <xf numFmtId="0" fontId="23" fillId="0" borderId="0" xfId="1" applyFont="1" applyFill="1" applyBorder="1" applyAlignment="1">
      <alignment vertical="center"/>
    </xf>
    <xf numFmtId="10" fontId="23" fillId="0" borderId="0" xfId="41" applyNumberFormat="1" applyFont="1" applyFill="1" applyBorder="1" applyAlignment="1">
      <alignment vertical="center"/>
    </xf>
    <xf numFmtId="2" fontId="23" fillId="0" borderId="0" xfId="1" applyNumberFormat="1" applyFont="1" applyFill="1" applyBorder="1" applyAlignment="1">
      <alignment vertical="center"/>
    </xf>
    <xf numFmtId="166" fontId="23" fillId="0" borderId="0" xfId="45" applyFont="1" applyFill="1" applyBorder="1" applyAlignment="1">
      <alignment horizontal="center"/>
    </xf>
    <xf numFmtId="166" fontId="23" fillId="0" borderId="0" xfId="45" applyFont="1" applyFill="1" applyBorder="1"/>
    <xf numFmtId="166" fontId="23" fillId="0" borderId="18" xfId="45" applyNumberFormat="1" applyFont="1" applyFill="1" applyBorder="1"/>
    <xf numFmtId="166" fontId="23" fillId="0" borderId="26" xfId="45" applyFont="1" applyFill="1" applyBorder="1"/>
    <xf numFmtId="166" fontId="23" fillId="0" borderId="14" xfId="45" applyNumberFormat="1" applyFont="1" applyFill="1" applyBorder="1"/>
    <xf numFmtId="166" fontId="62" fillId="0" borderId="21" xfId="45" applyFont="1" applyFill="1" applyBorder="1" applyAlignment="1">
      <alignment horizontal="left"/>
    </xf>
    <xf numFmtId="0" fontId="28" fillId="0" borderId="0" xfId="1" applyFont="1" applyFill="1" applyAlignment="1">
      <alignment horizontal="right"/>
    </xf>
    <xf numFmtId="0" fontId="20" fillId="0" borderId="0" xfId="1" applyFont="1" applyFill="1" applyBorder="1" applyAlignment="1">
      <alignment horizontal="right"/>
    </xf>
    <xf numFmtId="0" fontId="25" fillId="0" borderId="51" xfId="1" applyFont="1" applyFill="1" applyBorder="1" applyAlignment="1">
      <alignment horizontal="center"/>
    </xf>
    <xf numFmtId="0" fontId="25" fillId="0" borderId="47" xfId="1" applyFont="1" applyFill="1" applyBorder="1" applyAlignment="1">
      <alignment horizontal="center"/>
    </xf>
    <xf numFmtId="0" fontId="25" fillId="0" borderId="52" xfId="1" applyFont="1" applyFill="1" applyBorder="1" applyAlignment="1">
      <alignment horizontal="center"/>
    </xf>
    <xf numFmtId="166" fontId="23" fillId="0" borderId="18" xfId="29" applyNumberFormat="1" applyFont="1" applyFill="1" applyBorder="1" applyAlignment="1">
      <alignment horizontal="center"/>
    </xf>
    <xf numFmtId="166" fontId="25" fillId="0" borderId="26" xfId="29" applyNumberFormat="1" applyFont="1" applyFill="1" applyBorder="1" applyAlignment="1">
      <alignment horizontal="right"/>
    </xf>
    <xf numFmtId="166" fontId="25" fillId="0" borderId="13" xfId="29" applyNumberFormat="1" applyFont="1" applyFill="1" applyBorder="1" applyAlignment="1">
      <alignment horizontal="right"/>
    </xf>
    <xf numFmtId="166" fontId="23" fillId="0" borderId="21" xfId="45" applyFont="1" applyFill="1" applyBorder="1" applyAlignment="1">
      <alignment horizontal="center"/>
    </xf>
    <xf numFmtId="0" fontId="23" fillId="0" borderId="23" xfId="1" applyFont="1" applyFill="1" applyBorder="1" applyAlignment="1">
      <alignment horizontal="center"/>
    </xf>
    <xf numFmtId="0" fontId="23" fillId="0" borderId="14" xfId="1" applyFont="1" applyFill="1" applyBorder="1" applyAlignment="1">
      <alignment horizontal="center"/>
    </xf>
    <xf numFmtId="9" fontId="23" fillId="0" borderId="21" xfId="46" applyFont="1" applyFill="1" applyBorder="1" applyAlignment="1">
      <alignment horizontal="center"/>
    </xf>
    <xf numFmtId="9" fontId="23" fillId="0" borderId="0" xfId="46" applyFont="1" applyFill="1" applyBorder="1" applyAlignment="1">
      <alignment horizontal="center"/>
    </xf>
    <xf numFmtId="9" fontId="0" fillId="0" borderId="0" xfId="0" applyNumberFormat="1"/>
    <xf numFmtId="0" fontId="23" fillId="0" borderId="38" xfId="1" applyFont="1" applyFill="1" applyBorder="1"/>
    <xf numFmtId="166" fontId="23" fillId="0" borderId="23" xfId="29" applyNumberFormat="1" applyFont="1" applyFill="1" applyBorder="1"/>
    <xf numFmtId="0" fontId="23" fillId="0" borderId="18" xfId="1" applyFont="1" applyFill="1" applyBorder="1"/>
    <xf numFmtId="166" fontId="23" fillId="0" borderId="0" xfId="1" applyNumberFormat="1" applyFont="1" applyFill="1" applyBorder="1" applyAlignment="1">
      <alignment vertical="center"/>
    </xf>
    <xf numFmtId="0" fontId="25" fillId="0" borderId="15" xfId="1" applyFont="1" applyFill="1" applyBorder="1" applyAlignment="1">
      <alignment horizontal="center"/>
    </xf>
    <xf numFmtId="0" fontId="57" fillId="0" borderId="0" xfId="0" applyFont="1"/>
    <xf numFmtId="0" fontId="25" fillId="0" borderId="49" xfId="1" applyFont="1" applyFill="1" applyBorder="1" applyAlignment="1"/>
    <xf numFmtId="0" fontId="25" fillId="0" borderId="50" xfId="1" applyFont="1" applyFill="1" applyBorder="1" applyAlignment="1"/>
    <xf numFmtId="0" fontId="25" fillId="0" borderId="53" xfId="1" applyFont="1" applyFill="1" applyBorder="1" applyAlignment="1">
      <alignment horizontal="center"/>
    </xf>
    <xf numFmtId="0" fontId="25" fillId="0" borderId="54" xfId="1" applyFont="1" applyFill="1" applyBorder="1" applyAlignment="1">
      <alignment horizontal="center"/>
    </xf>
    <xf numFmtId="0" fontId="23" fillId="0" borderId="55" xfId="1" applyFont="1" applyFill="1" applyBorder="1"/>
    <xf numFmtId="0" fontId="23" fillId="0" borderId="44" xfId="1" applyFont="1" applyFill="1" applyBorder="1"/>
    <xf numFmtId="2" fontId="23" fillId="0" borderId="55" xfId="1" applyNumberFormat="1" applyFont="1" applyFill="1" applyBorder="1"/>
    <xf numFmtId="2" fontId="23" fillId="0" borderId="44" xfId="1" applyNumberFormat="1" applyFont="1" applyFill="1" applyBorder="1"/>
    <xf numFmtId="2" fontId="25" fillId="0" borderId="55" xfId="45" applyNumberFormat="1" applyFont="1" applyFill="1" applyBorder="1"/>
    <xf numFmtId="2" fontId="25" fillId="0" borderId="44" xfId="45" applyNumberFormat="1" applyFont="1" applyFill="1" applyBorder="1"/>
    <xf numFmtId="167" fontId="23" fillId="0" borderId="55" xfId="45" applyNumberFormat="1" applyFont="1" applyFill="1" applyBorder="1"/>
    <xf numFmtId="167" fontId="23" fillId="0" borderId="44" xfId="45" applyNumberFormat="1" applyFont="1" applyFill="1" applyBorder="1"/>
    <xf numFmtId="166" fontId="23" fillId="0" borderId="55" xfId="45" applyNumberFormat="1" applyFont="1" applyFill="1" applyBorder="1"/>
    <xf numFmtId="166" fontId="23" fillId="0" borderId="44" xfId="45" applyNumberFormat="1" applyFont="1" applyFill="1" applyBorder="1"/>
    <xf numFmtId="166" fontId="23" fillId="0" borderId="55" xfId="29" applyNumberFormat="1" applyFont="1" applyFill="1" applyBorder="1" applyAlignment="1">
      <alignment horizontal="right"/>
    </xf>
    <xf numFmtId="166" fontId="25" fillId="0" borderId="55" xfId="29" applyNumberFormat="1" applyFont="1" applyFill="1" applyBorder="1" applyAlignment="1">
      <alignment horizontal="right"/>
    </xf>
    <xf numFmtId="166" fontId="25" fillId="0" borderId="44" xfId="29" applyNumberFormat="1" applyFont="1" applyFill="1" applyBorder="1" applyAlignment="1">
      <alignment horizontal="right"/>
    </xf>
    <xf numFmtId="166" fontId="23" fillId="0" borderId="56" xfId="29" applyNumberFormat="1" applyFont="1" applyFill="1" applyBorder="1" applyAlignment="1">
      <alignment horizontal="right"/>
    </xf>
    <xf numFmtId="166" fontId="23" fillId="0" borderId="47" xfId="29" applyNumberFormat="1" applyFont="1" applyFill="1" applyBorder="1" applyAlignment="1">
      <alignment horizontal="right"/>
    </xf>
    <xf numFmtId="166" fontId="23" fillId="0" borderId="54" xfId="29" applyNumberFormat="1" applyFont="1" applyFill="1" applyBorder="1" applyAlignment="1">
      <alignment horizontal="right"/>
    </xf>
    <xf numFmtId="0" fontId="26" fillId="0" borderId="0" xfId="1" applyFont="1" applyFill="1" applyAlignment="1">
      <alignment horizontal="right"/>
    </xf>
    <xf numFmtId="0" fontId="25" fillId="0" borderId="27" xfId="1" applyFont="1" applyFill="1" applyBorder="1" applyAlignment="1"/>
    <xf numFmtId="0" fontId="25" fillId="0" borderId="28" xfId="1" applyFont="1" applyFill="1" applyBorder="1" applyAlignment="1"/>
    <xf numFmtId="0" fontId="25" fillId="0" borderId="29" xfId="1" applyFont="1" applyFill="1" applyBorder="1"/>
    <xf numFmtId="0" fontId="25" fillId="0" borderId="31" xfId="1" applyFont="1" applyFill="1" applyBorder="1" applyAlignment="1">
      <alignment horizontal="center"/>
    </xf>
    <xf numFmtId="0" fontId="25" fillId="0" borderId="32" xfId="1" applyFont="1" applyFill="1" applyBorder="1" applyAlignment="1">
      <alignment horizontal="center"/>
    </xf>
    <xf numFmtId="0" fontId="25" fillId="0" borderId="33" xfId="1" applyFont="1" applyFill="1" applyBorder="1" applyAlignment="1">
      <alignment horizontal="center"/>
    </xf>
    <xf numFmtId="0" fontId="25" fillId="0" borderId="39" xfId="1" applyFont="1" applyFill="1" applyBorder="1" applyAlignment="1"/>
    <xf numFmtId="0" fontId="1" fillId="0" borderId="19" xfId="1" applyBorder="1" applyAlignment="1">
      <alignment horizontal="center"/>
    </xf>
    <xf numFmtId="166" fontId="19" fillId="0" borderId="19" xfId="45" applyFont="1" applyFill="1" applyBorder="1" applyAlignment="1">
      <alignment horizontal="center"/>
    </xf>
    <xf numFmtId="166" fontId="1" fillId="0" borderId="19" xfId="45" applyFont="1" applyBorder="1" applyAlignment="1">
      <alignment horizontal="center"/>
    </xf>
    <xf numFmtId="9" fontId="19" fillId="0" borderId="19" xfId="46" applyFont="1" applyFill="1" applyBorder="1" applyAlignment="1">
      <alignment horizontal="center"/>
    </xf>
    <xf numFmtId="0" fontId="23" fillId="0" borderId="19" xfId="1" applyFont="1" applyFill="1" applyBorder="1" applyAlignment="1">
      <alignment horizontal="center"/>
    </xf>
    <xf numFmtId="0" fontId="23" fillId="0" borderId="26" xfId="1" applyFont="1" applyFill="1" applyBorder="1" applyAlignment="1">
      <alignment horizontal="center"/>
    </xf>
    <xf numFmtId="0" fontId="24" fillId="0" borderId="0" xfId="1" applyFont="1" applyFill="1" applyAlignment="1"/>
    <xf numFmtId="0" fontId="47" fillId="0" borderId="0" xfId="0" applyFont="1" applyAlignment="1"/>
    <xf numFmtId="0" fontId="43" fillId="24" borderId="0" xfId="47" applyFont="1" applyFill="1" applyBorder="1"/>
    <xf numFmtId="0" fontId="38" fillId="24" borderId="0" xfId="47" applyFont="1" applyFill="1" applyBorder="1"/>
    <xf numFmtId="0" fontId="23" fillId="24" borderId="0" xfId="47" applyFont="1" applyFill="1" applyBorder="1" applyAlignment="1">
      <alignment horizontal="left" wrapText="1"/>
    </xf>
    <xf numFmtId="0" fontId="23" fillId="0" borderId="0" xfId="47" applyFont="1" applyBorder="1" applyAlignment="1">
      <alignment horizontal="left" wrapText="1"/>
    </xf>
    <xf numFmtId="0" fontId="23" fillId="0" borderId="0" xfId="47" applyFont="1" applyBorder="1" applyAlignment="1">
      <alignment horizontal="left"/>
    </xf>
    <xf numFmtId="0" fontId="20" fillId="0" borderId="0" xfId="1" applyFont="1" applyBorder="1" applyAlignment="1">
      <alignment horizontal="center"/>
    </xf>
    <xf numFmtId="0" fontId="20" fillId="0" borderId="0" xfId="47" applyFont="1" applyBorder="1" applyAlignment="1">
      <alignment horizontal="center"/>
    </xf>
    <xf numFmtId="0" fontId="36" fillId="0" borderId="0" xfId="47" applyFont="1" applyBorder="1" applyAlignment="1">
      <alignment horizontal="left" wrapText="1"/>
    </xf>
    <xf numFmtId="0" fontId="47" fillId="0" borderId="0" xfId="0" applyFont="1" applyAlignment="1">
      <alignment horizontal="center"/>
    </xf>
    <xf numFmtId="0" fontId="57" fillId="0" borderId="0" xfId="0" applyFont="1" applyAlignment="1">
      <alignment horizontal="left" wrapText="1"/>
    </xf>
    <xf numFmtId="0" fontId="56" fillId="0" borderId="0" xfId="0" applyFont="1" applyAlignment="1">
      <alignment horizontal="center" vertical="center" wrapText="1"/>
    </xf>
    <xf numFmtId="0" fontId="20" fillId="0" borderId="0" xfId="47" applyFont="1" applyAlignment="1">
      <alignment horizontal="center"/>
    </xf>
    <xf numFmtId="0" fontId="24" fillId="0" borderId="16" xfId="1" applyFont="1" applyFill="1" applyBorder="1" applyAlignment="1">
      <alignment horizontal="center"/>
    </xf>
    <xf numFmtId="0" fontId="24" fillId="0" borderId="15" xfId="1" applyFont="1" applyFill="1" applyBorder="1" applyAlignment="1">
      <alignment horizontal="center"/>
    </xf>
    <xf numFmtId="0" fontId="24" fillId="0" borderId="17" xfId="1" applyFont="1" applyFill="1" applyBorder="1" applyAlignment="1">
      <alignment horizontal="center"/>
    </xf>
    <xf numFmtId="0" fontId="58" fillId="0" borderId="0" xfId="0" applyFont="1" applyAlignment="1">
      <alignment horizontal="center"/>
    </xf>
    <xf numFmtId="0" fontId="25" fillId="0" borderId="0" xfId="1" applyFont="1" applyFill="1" applyBorder="1" applyAlignment="1">
      <alignment horizontal="right"/>
    </xf>
    <xf numFmtId="0" fontId="25" fillId="0" borderId="48" xfId="1" applyFont="1" applyFill="1" applyBorder="1" applyAlignment="1">
      <alignment horizontal="center"/>
    </xf>
    <xf numFmtId="0" fontId="25" fillId="0" borderId="49" xfId="1" applyFont="1" applyFill="1" applyBorder="1" applyAlignment="1">
      <alignment horizontal="center"/>
    </xf>
    <xf numFmtId="0" fontId="25" fillId="0" borderId="50" xfId="1" applyFont="1" applyFill="1" applyBorder="1" applyAlignment="1">
      <alignment horizontal="center"/>
    </xf>
    <xf numFmtId="0" fontId="25" fillId="0" borderId="13" xfId="1" applyFont="1" applyFill="1" applyBorder="1" applyAlignment="1">
      <alignment horizontal="right"/>
    </xf>
    <xf numFmtId="0" fontId="25" fillId="0" borderId="16" xfId="1" applyFont="1" applyFill="1" applyBorder="1" applyAlignment="1">
      <alignment horizontal="center"/>
    </xf>
    <xf numFmtId="0" fontId="25" fillId="0" borderId="15" xfId="1" applyFont="1" applyFill="1" applyBorder="1" applyAlignment="1">
      <alignment horizontal="center"/>
    </xf>
    <xf numFmtId="0" fontId="25" fillId="0" borderId="17" xfId="1" applyFont="1" applyFill="1" applyBorder="1" applyAlignment="1">
      <alignment horizontal="center"/>
    </xf>
    <xf numFmtId="0" fontId="24" fillId="0" borderId="0" xfId="1" applyFont="1" applyFill="1" applyAlignment="1">
      <alignment horizontal="center"/>
    </xf>
    <xf numFmtId="0" fontId="48" fillId="0" borderId="0" xfId="0" applyFont="1" applyAlignment="1">
      <alignment horizontal="center"/>
    </xf>
    <xf numFmtId="0" fontId="22" fillId="0" borderId="0" xfId="1" applyFont="1" applyFill="1" applyAlignment="1">
      <alignment horizontal="center"/>
    </xf>
    <xf numFmtId="0" fontId="20" fillId="0" borderId="11" xfId="1" applyFont="1" applyFill="1" applyBorder="1" applyAlignment="1">
      <alignment horizontal="center"/>
    </xf>
    <xf numFmtId="0" fontId="20" fillId="0" borderId="27" xfId="1" applyFont="1" applyFill="1" applyBorder="1" applyAlignment="1">
      <alignment horizontal="center"/>
    </xf>
    <xf numFmtId="0" fontId="20" fillId="0" borderId="28" xfId="1" applyFont="1" applyFill="1" applyBorder="1" applyAlignment="1">
      <alignment horizontal="center"/>
    </xf>
    <xf numFmtId="0" fontId="20" fillId="0" borderId="32" xfId="1" applyFont="1" applyFill="1" applyBorder="1" applyAlignment="1">
      <alignment horizontal="right"/>
    </xf>
    <xf numFmtId="0" fontId="25" fillId="0" borderId="0" xfId="1" applyFont="1" applyFill="1" applyAlignment="1">
      <alignment horizontal="right"/>
    </xf>
    <xf numFmtId="0" fontId="23" fillId="0" borderId="10" xfId="1" applyFont="1" applyFill="1" applyBorder="1" applyAlignment="1">
      <alignment horizontal="left" vertical="top"/>
    </xf>
    <xf numFmtId="0" fontId="23" fillId="0" borderId="0" xfId="1" applyFont="1" applyFill="1" applyBorder="1" applyAlignment="1">
      <alignment horizontal="left" vertical="top"/>
    </xf>
    <xf numFmtId="0" fontId="20" fillId="0" borderId="13" xfId="1" applyFont="1" applyFill="1" applyBorder="1" applyAlignment="1">
      <alignment horizontal="right"/>
    </xf>
    <xf numFmtId="0" fontId="20" fillId="0" borderId="13" xfId="1" applyFont="1" applyFill="1" applyBorder="1" applyAlignment="1">
      <alignment horizontal="center"/>
    </xf>
    <xf numFmtId="0" fontId="63" fillId="0" borderId="0" xfId="0" applyFont="1" applyAlignment="1">
      <alignment horizontal="center"/>
    </xf>
    <xf numFmtId="0" fontId="27" fillId="0" borderId="19" xfId="1" applyFont="1" applyFill="1" applyBorder="1" applyAlignment="1">
      <alignment horizontal="left" vertical="top" wrapText="1"/>
    </xf>
    <xf numFmtId="166" fontId="19" fillId="0" borderId="10" xfId="47" applyNumberFormat="1" applyFont="1" applyBorder="1" applyAlignment="1">
      <alignment horizontal="center"/>
    </xf>
    <xf numFmtId="166" fontId="19" fillId="0" borderId="30" xfId="47" applyNumberFormat="1" applyFont="1" applyBorder="1" applyAlignment="1">
      <alignment horizontal="center"/>
    </xf>
    <xf numFmtId="166" fontId="19" fillId="0" borderId="11" xfId="47" applyNumberFormat="1" applyFont="1" applyBorder="1" applyAlignment="1">
      <alignment horizontal="center"/>
    </xf>
    <xf numFmtId="0" fontId="19" fillId="0" borderId="28" xfId="47" applyFont="1" applyBorder="1" applyAlignment="1">
      <alignment horizontal="center"/>
    </xf>
    <xf numFmtId="0" fontId="54" fillId="0" borderId="0" xfId="0" applyFont="1" applyAlignment="1">
      <alignment horizontal="left" vertical="top" wrapText="1"/>
    </xf>
    <xf numFmtId="0" fontId="46" fillId="0" borderId="0" xfId="49" applyFont="1" applyAlignment="1">
      <alignment horizontal="left" vertical="top" wrapText="1"/>
    </xf>
    <xf numFmtId="0" fontId="19" fillId="0" borderId="31" xfId="47" applyFont="1" applyBorder="1" applyAlignment="1">
      <alignment horizontal="left" vertical="top" wrapText="1"/>
    </xf>
    <xf numFmtId="0" fontId="19" fillId="0" borderId="32" xfId="47" applyFont="1" applyBorder="1" applyAlignment="1">
      <alignment horizontal="left" vertical="top" wrapText="1"/>
    </xf>
    <xf numFmtId="0" fontId="19" fillId="0" borderId="33" xfId="47" applyFont="1" applyBorder="1" applyAlignment="1">
      <alignment horizontal="left" vertical="top" wrapText="1"/>
    </xf>
    <xf numFmtId="0" fontId="19" fillId="0" borderId="29" xfId="47" applyFont="1" applyBorder="1" applyAlignment="1">
      <alignment horizontal="left" vertical="top" wrapText="1"/>
    </xf>
    <xf numFmtId="0" fontId="19" fillId="0" borderId="34" xfId="47" applyFont="1" applyBorder="1" applyAlignment="1">
      <alignment horizontal="left" vertical="top"/>
    </xf>
    <xf numFmtId="0" fontId="19" fillId="0" borderId="35" xfId="47" applyFont="1" applyBorder="1" applyAlignment="1">
      <alignment horizontal="left" vertical="top"/>
    </xf>
    <xf numFmtId="0" fontId="19" fillId="0" borderId="31" xfId="47" applyFont="1" applyBorder="1" applyAlignment="1">
      <alignment horizontal="left" vertical="top"/>
    </xf>
    <xf numFmtId="0" fontId="19" fillId="0" borderId="32" xfId="47" applyFont="1" applyBorder="1" applyAlignment="1">
      <alignment horizontal="left" vertical="top"/>
    </xf>
    <xf numFmtId="0" fontId="19" fillId="0" borderId="33" xfId="47" applyFont="1" applyBorder="1" applyAlignment="1">
      <alignment horizontal="left" vertical="top"/>
    </xf>
    <xf numFmtId="10" fontId="19" fillId="0" borderId="29" xfId="47" applyNumberFormat="1" applyFont="1" applyBorder="1" applyAlignment="1">
      <alignment horizontal="center"/>
    </xf>
    <xf numFmtId="10" fontId="19" fillId="0" borderId="35" xfId="47" applyNumberFormat="1" applyFont="1" applyBorder="1" applyAlignment="1">
      <alignment horizontal="center"/>
    </xf>
    <xf numFmtId="0" fontId="19" fillId="0" borderId="31" xfId="47" applyFont="1" applyBorder="1" applyAlignment="1">
      <alignment horizontal="center"/>
    </xf>
    <xf numFmtId="0" fontId="19" fillId="0" borderId="33" xfId="47" applyFont="1" applyBorder="1" applyAlignment="1">
      <alignment horizontal="center"/>
    </xf>
    <xf numFmtId="166" fontId="19" fillId="0" borderId="29" xfId="47" applyNumberFormat="1" applyFont="1" applyBorder="1" applyAlignment="1">
      <alignment horizontal="center"/>
    </xf>
    <xf numFmtId="166" fontId="19" fillId="0" borderId="35" xfId="47" applyNumberFormat="1" applyFont="1" applyBorder="1" applyAlignment="1">
      <alignment horizontal="center"/>
    </xf>
  </cellXfs>
  <cellStyles count="51">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Calculation 2" xfId="27"/>
    <cellStyle name="Check Cell 2" xfId="28"/>
    <cellStyle name="Comma" xfId="45" builtinId="3"/>
    <cellStyle name="Comma 2" xfId="29"/>
    <cellStyle name="Comma 3" xfId="48"/>
    <cellStyle name="Currency" xfId="50" builtinId="4"/>
    <cellStyle name="Explanatory Text 2" xfId="30"/>
    <cellStyle name="Good 2" xfId="31"/>
    <cellStyle name="Heading 1 2" xfId="32"/>
    <cellStyle name="Heading 2 2" xfId="33"/>
    <cellStyle name="Heading 3 2" xfId="34"/>
    <cellStyle name="Heading 4 2" xfId="35"/>
    <cellStyle name="Hyperlink" xfId="49" builtinId="8"/>
    <cellStyle name="Input 2" xfId="36"/>
    <cellStyle name="Linked Cell 2" xfId="37"/>
    <cellStyle name="Neutral 2" xfId="38"/>
    <cellStyle name="Normal" xfId="0" builtinId="0"/>
    <cellStyle name="Normal 2" xfId="1"/>
    <cellStyle name="Normal 3" xfId="47"/>
    <cellStyle name="Note 2" xfId="39"/>
    <cellStyle name="Output 2" xfId="40"/>
    <cellStyle name="Percent" xfId="46" builtinId="5"/>
    <cellStyle name="Percent 2" xfId="41"/>
    <cellStyle name="Title 2" xfId="42"/>
    <cellStyle name="Total 2" xfId="43"/>
    <cellStyle name="Warning Text 2" xfId="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zoomScaleNormal="100" workbookViewId="0">
      <selection activeCell="E13" sqref="E13"/>
    </sheetView>
  </sheetViews>
  <sheetFormatPr defaultColWidth="8.85546875" defaultRowHeight="12.75" x14ac:dyDescent="0.2"/>
  <cols>
    <col min="1" max="1" width="16.42578125" style="183" customWidth="1"/>
    <col min="2" max="6" width="12.140625" style="183" customWidth="1"/>
    <col min="7" max="7" width="16.42578125" style="183" customWidth="1"/>
    <col min="8" max="16384" width="8.85546875" style="183"/>
  </cols>
  <sheetData>
    <row r="1" spans="1:7" ht="15.75" x14ac:dyDescent="0.25">
      <c r="A1" s="224"/>
      <c r="B1" s="224"/>
      <c r="C1" s="224"/>
      <c r="D1" s="224"/>
      <c r="E1" s="224"/>
      <c r="F1" s="224"/>
      <c r="G1" s="224"/>
    </row>
    <row r="2" spans="1:7" ht="15.75" x14ac:dyDescent="0.25">
      <c r="A2" s="225" t="s">
        <v>133</v>
      </c>
      <c r="B2" s="224"/>
      <c r="C2" s="224"/>
      <c r="D2" s="224"/>
      <c r="E2" s="224"/>
      <c r="F2" s="224"/>
      <c r="G2" s="224"/>
    </row>
    <row r="3" spans="1:7" ht="15.75" x14ac:dyDescent="0.25">
      <c r="A3" s="488" t="s">
        <v>134</v>
      </c>
      <c r="B3" s="224"/>
      <c r="C3" s="224"/>
      <c r="D3" s="224"/>
      <c r="E3" s="224"/>
      <c r="F3" s="224"/>
      <c r="G3" s="224"/>
    </row>
    <row r="4" spans="1:7" ht="15.75" x14ac:dyDescent="0.25">
      <c r="A4" s="224" t="s">
        <v>300</v>
      </c>
      <c r="B4" s="224"/>
      <c r="C4" s="224"/>
      <c r="D4" s="224"/>
      <c r="E4" s="224"/>
      <c r="F4" s="224"/>
      <c r="G4" s="224"/>
    </row>
    <row r="5" spans="1:7" ht="15.75" x14ac:dyDescent="0.25">
      <c r="A5" s="224"/>
      <c r="B5" s="224"/>
      <c r="C5" s="224"/>
      <c r="D5" s="224"/>
      <c r="E5" s="224"/>
      <c r="F5" s="224"/>
      <c r="G5" s="224"/>
    </row>
    <row r="6" spans="1:7" ht="15.75" x14ac:dyDescent="0.25">
      <c r="A6" s="227" t="s">
        <v>171</v>
      </c>
      <c r="B6" s="224"/>
      <c r="C6" s="224"/>
      <c r="D6" s="224"/>
      <c r="E6" s="224"/>
      <c r="F6" s="224"/>
      <c r="G6" s="224"/>
    </row>
    <row r="7" spans="1:7" ht="15.75" x14ac:dyDescent="0.25">
      <c r="A7" s="224" t="s">
        <v>297</v>
      </c>
      <c r="B7" s="224"/>
      <c r="C7" s="224"/>
      <c r="D7" s="224"/>
      <c r="E7" s="224"/>
      <c r="F7" s="224"/>
      <c r="G7" s="224"/>
    </row>
    <row r="8" spans="1:7" ht="15.75" x14ac:dyDescent="0.25">
      <c r="A8" s="224" t="s">
        <v>172</v>
      </c>
      <c r="B8" s="224"/>
      <c r="C8" s="226"/>
      <c r="D8" s="224"/>
      <c r="E8" s="224"/>
      <c r="F8" s="224"/>
      <c r="G8" s="224"/>
    </row>
    <row r="9" spans="1:7" ht="15.75" x14ac:dyDescent="0.25">
      <c r="A9" s="224"/>
      <c r="B9" s="224"/>
      <c r="C9" s="224"/>
      <c r="D9" s="224"/>
      <c r="E9" s="224"/>
      <c r="F9" s="224"/>
      <c r="G9" s="224"/>
    </row>
    <row r="10" spans="1:7" ht="15.75" x14ac:dyDescent="0.25">
      <c r="A10" s="227"/>
      <c r="B10" s="224"/>
      <c r="C10" s="228"/>
      <c r="D10" s="224"/>
      <c r="E10" s="224"/>
      <c r="F10" s="224"/>
      <c r="G10" s="224"/>
    </row>
    <row r="11" spans="1:7" ht="15.75" x14ac:dyDescent="0.25">
      <c r="A11" s="224"/>
      <c r="B11" s="224"/>
      <c r="C11" s="224"/>
      <c r="D11" s="224"/>
      <c r="E11" s="224"/>
      <c r="F11" s="224"/>
      <c r="G11" s="224"/>
    </row>
    <row r="12" spans="1:7" ht="15.75" x14ac:dyDescent="0.25">
      <c r="A12" s="224"/>
      <c r="B12" s="224"/>
      <c r="C12" s="224"/>
      <c r="D12" s="224"/>
      <c r="E12" s="224"/>
      <c r="F12" s="224"/>
      <c r="G12" s="224"/>
    </row>
    <row r="13" spans="1:7" ht="15.75" x14ac:dyDescent="0.25">
      <c r="A13" s="224"/>
      <c r="B13" s="224"/>
      <c r="C13" s="228"/>
      <c r="D13" s="224"/>
      <c r="E13" s="224"/>
      <c r="F13" s="224"/>
      <c r="G13" s="224"/>
    </row>
    <row r="14" spans="1:7" ht="15.75" x14ac:dyDescent="0.25">
      <c r="A14" s="224"/>
      <c r="B14" s="224"/>
      <c r="C14" s="224"/>
      <c r="D14" s="224"/>
      <c r="E14" s="224"/>
      <c r="F14" s="224"/>
      <c r="G14" s="224"/>
    </row>
    <row r="15" spans="1:7" ht="15.75" x14ac:dyDescent="0.25">
      <c r="A15" s="229"/>
      <c r="B15" s="229"/>
      <c r="C15" s="224"/>
      <c r="D15" s="224"/>
      <c r="E15" s="224"/>
      <c r="F15" s="224"/>
      <c r="G15" s="224"/>
    </row>
    <row r="16" spans="1:7" ht="15.75" x14ac:dyDescent="0.25">
      <c r="A16" s="224"/>
      <c r="B16" s="224"/>
      <c r="C16" s="224"/>
      <c r="D16" s="224"/>
      <c r="E16" s="224"/>
      <c r="F16" s="224"/>
      <c r="G16" s="224"/>
    </row>
    <row r="17" spans="1:7" ht="15.75" x14ac:dyDescent="0.25">
      <c r="A17" s="227"/>
      <c r="B17" s="224"/>
      <c r="C17" s="224"/>
      <c r="D17" s="224"/>
      <c r="E17" s="224"/>
      <c r="F17" s="224"/>
      <c r="G17" s="224"/>
    </row>
    <row r="18" spans="1:7" ht="15.75" customHeight="1" x14ac:dyDescent="0.25">
      <c r="A18" s="224"/>
      <c r="B18" s="224"/>
      <c r="C18" s="224"/>
      <c r="D18" s="224"/>
      <c r="E18" s="224"/>
      <c r="F18" s="224"/>
      <c r="G18" s="224"/>
    </row>
    <row r="19" spans="1:7" ht="49.5" customHeight="1" x14ac:dyDescent="0.25">
      <c r="A19" s="490" t="s">
        <v>136</v>
      </c>
      <c r="B19" s="490"/>
      <c r="C19" s="490"/>
      <c r="D19" s="490"/>
      <c r="E19" s="490"/>
      <c r="F19" s="490"/>
      <c r="G19" s="490"/>
    </row>
    <row r="20" spans="1:7" ht="15.75" x14ac:dyDescent="0.25">
      <c r="A20" s="491" t="s">
        <v>137</v>
      </c>
      <c r="B20" s="491"/>
      <c r="C20" s="491"/>
      <c r="D20" s="491"/>
      <c r="E20" s="491"/>
      <c r="F20" s="491"/>
      <c r="G20" s="491"/>
    </row>
    <row r="21" spans="1:7" ht="15.75" x14ac:dyDescent="0.25">
      <c r="A21" s="492"/>
      <c r="B21" s="492"/>
      <c r="C21" s="492"/>
      <c r="D21" s="492"/>
      <c r="E21" s="492"/>
      <c r="F21" s="492"/>
      <c r="G21" s="492"/>
    </row>
    <row r="22" spans="1:7" ht="15.75" x14ac:dyDescent="0.25">
      <c r="A22" s="224"/>
      <c r="B22" s="224"/>
      <c r="C22" s="224"/>
      <c r="D22" s="224"/>
      <c r="E22" s="224"/>
      <c r="F22" s="224"/>
      <c r="G22" s="224"/>
    </row>
    <row r="23" spans="1:7" ht="15.75" x14ac:dyDescent="0.25">
      <c r="A23" s="224"/>
      <c r="B23" s="224"/>
      <c r="C23" s="224"/>
      <c r="D23" s="224"/>
      <c r="E23" s="224"/>
      <c r="F23" s="224"/>
      <c r="G23" s="224"/>
    </row>
    <row r="24" spans="1:7" ht="15.75" x14ac:dyDescent="0.25">
      <c r="A24" s="229"/>
      <c r="B24" s="224"/>
      <c r="C24" s="224"/>
      <c r="D24" s="224"/>
      <c r="E24" s="224"/>
      <c r="F24" s="224"/>
      <c r="G24" s="224"/>
    </row>
    <row r="25" spans="1:7" ht="15.75" x14ac:dyDescent="0.25">
      <c r="A25" s="224"/>
      <c r="B25" s="224"/>
      <c r="C25" s="224"/>
      <c r="D25" s="224"/>
      <c r="E25" s="224"/>
      <c r="F25" s="224"/>
      <c r="G25" s="224"/>
    </row>
    <row r="26" spans="1:7" ht="15.75" x14ac:dyDescent="0.25">
      <c r="A26" s="224"/>
      <c r="B26" s="224"/>
      <c r="C26" s="224"/>
      <c r="D26" s="224"/>
      <c r="E26" s="227" t="s">
        <v>227</v>
      </c>
      <c r="F26" s="224"/>
      <c r="G26" s="224"/>
    </row>
    <row r="27" spans="1:7" ht="15.75" x14ac:dyDescent="0.25">
      <c r="A27" s="224"/>
      <c r="B27" s="224"/>
      <c r="C27" s="224"/>
      <c r="D27" s="224"/>
      <c r="E27" s="227" t="s">
        <v>138</v>
      </c>
      <c r="F27" s="224"/>
      <c r="G27" s="224"/>
    </row>
    <row r="28" spans="1:7" ht="15.75" x14ac:dyDescent="0.25">
      <c r="A28" s="224"/>
      <c r="B28" s="224"/>
      <c r="C28" s="224"/>
      <c r="D28" s="224"/>
      <c r="E28" s="224" t="s">
        <v>139</v>
      </c>
      <c r="F28" s="224"/>
      <c r="G28" s="224"/>
    </row>
    <row r="29" spans="1:7" ht="15.75" x14ac:dyDescent="0.25">
      <c r="A29" s="224"/>
      <c r="B29" s="224"/>
      <c r="C29" s="224"/>
      <c r="D29" s="224"/>
      <c r="E29" s="489" t="s">
        <v>140</v>
      </c>
      <c r="F29" s="489"/>
      <c r="G29" s="489"/>
    </row>
    <row r="30" spans="1:7" ht="15.75" x14ac:dyDescent="0.25">
      <c r="A30" s="224"/>
      <c r="B30" s="224"/>
      <c r="C30" s="224"/>
      <c r="D30" s="224"/>
      <c r="E30" s="489" t="s">
        <v>141</v>
      </c>
      <c r="F30" s="489"/>
      <c r="G30" s="224"/>
    </row>
    <row r="31" spans="1:7" ht="15.75" x14ac:dyDescent="0.25">
      <c r="A31" s="224"/>
      <c r="B31" s="224"/>
      <c r="C31" s="224"/>
      <c r="D31" s="224"/>
      <c r="E31" s="224" t="s">
        <v>142</v>
      </c>
      <c r="F31" s="224"/>
      <c r="G31" s="224"/>
    </row>
    <row r="32" spans="1:7" ht="15.75" x14ac:dyDescent="0.25">
      <c r="A32" s="224"/>
      <c r="B32" s="224"/>
      <c r="C32" s="224"/>
      <c r="D32" s="224"/>
      <c r="E32" s="224" t="s">
        <v>143</v>
      </c>
      <c r="F32" s="224"/>
      <c r="G32" s="224"/>
    </row>
    <row r="33" spans="1:7" x14ac:dyDescent="0.2">
      <c r="A33" s="182"/>
      <c r="B33" s="182"/>
      <c r="C33" s="182"/>
      <c r="D33" s="182"/>
      <c r="E33" s="182"/>
      <c r="F33" s="182"/>
      <c r="G33" s="182"/>
    </row>
    <row r="34" spans="1:7" x14ac:dyDescent="0.2">
      <c r="A34" s="182"/>
      <c r="B34" s="182"/>
      <c r="C34" s="182"/>
      <c r="D34" s="182"/>
      <c r="E34" s="182"/>
      <c r="F34" s="182"/>
      <c r="G34" s="182"/>
    </row>
    <row r="35" spans="1:7" x14ac:dyDescent="0.2">
      <c r="A35" s="182"/>
      <c r="B35" s="182"/>
      <c r="C35" s="182"/>
      <c r="D35" s="182"/>
      <c r="E35" s="182"/>
      <c r="F35" s="182"/>
      <c r="G35" s="182"/>
    </row>
    <row r="36" spans="1:7" x14ac:dyDescent="0.2">
      <c r="A36" s="182"/>
      <c r="B36" s="182"/>
      <c r="C36" s="182"/>
      <c r="D36" s="182"/>
      <c r="E36" s="182"/>
      <c r="F36" s="182"/>
      <c r="G36" s="182"/>
    </row>
    <row r="37" spans="1:7" x14ac:dyDescent="0.2">
      <c r="A37" s="182"/>
      <c r="B37" s="182"/>
      <c r="C37" s="182"/>
      <c r="D37" s="182"/>
      <c r="E37" s="182"/>
      <c r="F37" s="182"/>
      <c r="G37" s="182"/>
    </row>
  </sheetData>
  <sheetProtection algorithmName="SHA-512" hashValue="L526poM3nVUkNHfaMmqE0aXgiNYyWo2qpnmjrVYPzrjhmpsNziKCrX2/yeW2IIrm6eWIYA7mfx2RRfjCXREwMQ==" saltValue="E5xyx2rAchtCPBhHOknozw==" spinCount="100000" sheet="1" objects="1" scenarios="1" selectLockedCells="1" selectUnlockedCells="1"/>
  <mergeCells count="3">
    <mergeCell ref="A19:G19"/>
    <mergeCell ref="A20:G20"/>
    <mergeCell ref="A21:G21"/>
  </mergeCells>
  <printOptions horizontalCentered="1" verticalCentered="1"/>
  <pageMargins left="0.56999999999999995" right="0.25" top="1.18" bottom="0.95" header="0.2" footer="0.5"/>
  <pageSetup orientation="portrait" horizontalDpi="4294967293" verticalDpi="144"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opLeftCell="A3" workbookViewId="0">
      <selection activeCell="E13" sqref="E13"/>
    </sheetView>
  </sheetViews>
  <sheetFormatPr defaultRowHeight="15" x14ac:dyDescent="0.25"/>
  <cols>
    <col min="1" max="1" width="30.7109375" bestFit="1" customWidth="1"/>
    <col min="2" max="2" width="10.7109375" bestFit="1" customWidth="1"/>
    <col min="3" max="6" width="11.5703125" bestFit="1" customWidth="1"/>
    <col min="7" max="7" width="12.28515625" bestFit="1" customWidth="1"/>
    <col min="8" max="8" width="12.7109375" bestFit="1" customWidth="1"/>
    <col min="9" max="9" width="14.7109375" bestFit="1" customWidth="1"/>
  </cols>
  <sheetData>
    <row r="1" spans="1:10" ht="18.75" x14ac:dyDescent="0.3">
      <c r="A1" s="513" t="str">
        <f>+BS!A1</f>
        <v>M/s SMJ Interiors</v>
      </c>
      <c r="B1" s="513"/>
      <c r="C1" s="513"/>
      <c r="D1" s="513"/>
      <c r="E1" s="513"/>
      <c r="F1" s="513"/>
      <c r="G1" s="513"/>
      <c r="H1" s="248"/>
      <c r="I1" s="248"/>
    </row>
    <row r="2" spans="1:10" ht="18.75" x14ac:dyDescent="0.3">
      <c r="A2" s="513" t="str">
        <f>+BS!A2</f>
        <v>(UPVC Window Making Plant)</v>
      </c>
      <c r="B2" s="513"/>
      <c r="C2" s="513"/>
      <c r="D2" s="513"/>
      <c r="E2" s="513"/>
      <c r="F2" s="513"/>
      <c r="G2" s="513"/>
      <c r="H2" s="248"/>
      <c r="I2" s="248"/>
    </row>
    <row r="4" spans="1:10" ht="18.75" x14ac:dyDescent="0.3">
      <c r="A4" s="8"/>
      <c r="B4" s="80"/>
      <c r="C4" s="8"/>
      <c r="D4" s="8"/>
      <c r="E4" s="8"/>
      <c r="F4" s="8"/>
      <c r="G4" s="472" t="s">
        <v>212</v>
      </c>
      <c r="H4" s="8"/>
    </row>
    <row r="5" spans="1:10" ht="18.75" x14ac:dyDescent="0.3">
      <c r="A5" s="514" t="s">
        <v>40</v>
      </c>
      <c r="B5" s="514"/>
      <c r="C5" s="514"/>
      <c r="D5" s="514"/>
      <c r="E5" s="514"/>
      <c r="F5" s="514"/>
      <c r="G5" s="514"/>
      <c r="H5" s="249"/>
      <c r="I5" s="249"/>
    </row>
    <row r="6" spans="1:10" ht="18.75" x14ac:dyDescent="0.3">
      <c r="A6" s="11"/>
      <c r="B6" s="11"/>
      <c r="C6" s="9"/>
      <c r="D6" s="9"/>
      <c r="E6" s="9"/>
      <c r="F6" s="518" t="s">
        <v>125</v>
      </c>
      <c r="G6" s="518"/>
      <c r="J6" s="261"/>
    </row>
    <row r="7" spans="1:10" x14ac:dyDescent="0.25">
      <c r="A7" s="14" t="s">
        <v>41</v>
      </c>
      <c r="B7" s="14"/>
      <c r="C7" s="515" t="s">
        <v>3</v>
      </c>
      <c r="D7" s="516"/>
      <c r="E7" s="516"/>
      <c r="F7" s="516"/>
      <c r="G7" s="517"/>
      <c r="H7" s="254"/>
      <c r="I7" s="255"/>
    </row>
    <row r="8" spans="1:10" ht="15.75" x14ac:dyDescent="0.25">
      <c r="A8" s="17"/>
      <c r="B8" s="17" t="s">
        <v>130</v>
      </c>
      <c r="C8" s="276" t="s">
        <v>4</v>
      </c>
      <c r="D8" s="276" t="s">
        <v>5</v>
      </c>
      <c r="E8" s="276" t="s">
        <v>6</v>
      </c>
      <c r="F8" s="276" t="s">
        <v>7</v>
      </c>
      <c r="G8" s="276" t="s">
        <v>8</v>
      </c>
      <c r="H8" s="18" t="s">
        <v>9</v>
      </c>
      <c r="I8" s="19" t="s">
        <v>10</v>
      </c>
    </row>
    <row r="9" spans="1:10" ht="15.75" x14ac:dyDescent="0.25">
      <c r="A9" s="161"/>
      <c r="B9" s="161"/>
      <c r="C9" s="177"/>
      <c r="D9" s="222"/>
      <c r="E9" s="178"/>
      <c r="F9" s="222"/>
      <c r="G9" s="178"/>
      <c r="H9" s="222"/>
      <c r="I9" s="222"/>
    </row>
    <row r="10" spans="1:10" ht="15.75" x14ac:dyDescent="0.25">
      <c r="A10" s="161" t="s">
        <v>131</v>
      </c>
      <c r="B10" s="163">
        <f>+Cost!C27</f>
        <v>34</v>
      </c>
      <c r="C10" s="163">
        <v>0</v>
      </c>
      <c r="D10" s="167">
        <v>0</v>
      </c>
      <c r="E10" s="165">
        <v>0</v>
      </c>
      <c r="F10" s="167">
        <v>0</v>
      </c>
      <c r="G10" s="165">
        <v>0</v>
      </c>
      <c r="H10" s="167">
        <v>0</v>
      </c>
      <c r="I10" s="167">
        <v>0</v>
      </c>
    </row>
    <row r="11" spans="1:10" ht="15.75" x14ac:dyDescent="0.25">
      <c r="A11" s="15" t="s">
        <v>118</v>
      </c>
      <c r="B11" s="162">
        <v>0</v>
      </c>
      <c r="C11" s="163">
        <f>'P &amp; L'!B39</f>
        <v>2.9723305639693063</v>
      </c>
      <c r="D11" s="167">
        <f>'P &amp; L'!C39</f>
        <v>4.4473108051974108</v>
      </c>
      <c r="E11" s="165">
        <f>'P &amp; L'!D39</f>
        <v>5.7896845578968126</v>
      </c>
      <c r="F11" s="167">
        <f>'P &amp; L'!E39</f>
        <v>7.0862751171161582</v>
      </c>
      <c r="G11" s="165">
        <f>'P &amp; L'!F39</f>
        <v>9.3674079073199383</v>
      </c>
      <c r="H11" s="167">
        <f>'P &amp; L'!G39</f>
        <v>11.314823646926881</v>
      </c>
      <c r="I11" s="167">
        <f>'P &amp; L'!H39</f>
        <v>13.798221244763747</v>
      </c>
    </row>
    <row r="12" spans="1:10" ht="15.75" x14ac:dyDescent="0.25">
      <c r="A12" s="16" t="s">
        <v>42</v>
      </c>
      <c r="B12" s="166"/>
      <c r="C12" s="163"/>
      <c r="D12" s="167"/>
      <c r="E12" s="165"/>
      <c r="F12" s="167"/>
      <c r="G12" s="165"/>
      <c r="H12" s="167"/>
      <c r="I12" s="167"/>
    </row>
    <row r="13" spans="1:10" ht="15.75" x14ac:dyDescent="0.25">
      <c r="A13" s="15" t="s">
        <v>38</v>
      </c>
      <c r="B13" s="162">
        <v>0</v>
      </c>
      <c r="C13" s="163">
        <f>'P &amp; L'!B32</f>
        <v>3.80375</v>
      </c>
      <c r="D13" s="167">
        <f>'P &amp; L'!C32</f>
        <v>3.1365000000000003</v>
      </c>
      <c r="E13" s="165">
        <f>'P &amp; L'!D32</f>
        <v>2.6306437500000004</v>
      </c>
      <c r="F13" s="167">
        <f>'P &amp; L'!E32</f>
        <v>2.2301710625000002</v>
      </c>
      <c r="G13" s="165">
        <f>'P &amp; L'!F32</f>
        <v>1.8834476906250002</v>
      </c>
      <c r="H13" s="167">
        <f>'P &amp; L'!G32</f>
        <v>1.6052525957812502</v>
      </c>
      <c r="I13" s="167">
        <f>'P &amp; L'!H32</f>
        <v>1.3683545592890625</v>
      </c>
    </row>
    <row r="14" spans="1:10" ht="15.75" x14ac:dyDescent="0.25">
      <c r="A14" s="15"/>
      <c r="B14" s="162"/>
      <c r="C14" s="163"/>
      <c r="D14" s="167"/>
      <c r="E14" s="165"/>
      <c r="F14" s="167"/>
      <c r="G14" s="165"/>
      <c r="H14" s="167"/>
      <c r="I14" s="167"/>
    </row>
    <row r="15" spans="1:10" ht="15.75" x14ac:dyDescent="0.25">
      <c r="A15" s="22" t="s">
        <v>43</v>
      </c>
      <c r="B15" s="169">
        <f>+B10+B11+B13</f>
        <v>34</v>
      </c>
      <c r="C15" s="169">
        <f>+C10+C11+C13</f>
        <v>6.7760805639693062</v>
      </c>
      <c r="D15" s="170">
        <f t="shared" ref="D15:I15" si="0">+D10+D11+D13</f>
        <v>7.5838108051974107</v>
      </c>
      <c r="E15" s="171">
        <f t="shared" si="0"/>
        <v>8.4203283078968134</v>
      </c>
      <c r="F15" s="170">
        <f t="shared" si="0"/>
        <v>9.3164461796161575</v>
      </c>
      <c r="G15" s="171">
        <f t="shared" si="0"/>
        <v>11.250855597944938</v>
      </c>
      <c r="H15" s="170">
        <f t="shared" si="0"/>
        <v>12.920076242708131</v>
      </c>
      <c r="I15" s="170">
        <f t="shared" si="0"/>
        <v>15.16657580405281</v>
      </c>
    </row>
    <row r="16" spans="1:10" ht="15.75" x14ac:dyDescent="0.25">
      <c r="A16" s="22"/>
      <c r="B16" s="168"/>
      <c r="C16" s="169"/>
      <c r="D16" s="170"/>
      <c r="E16" s="171"/>
      <c r="F16" s="170"/>
      <c r="G16" s="171"/>
      <c r="H16" s="170"/>
      <c r="I16" s="170"/>
    </row>
    <row r="17" spans="1:10" ht="15.75" x14ac:dyDescent="0.25">
      <c r="A17" s="16" t="s">
        <v>44</v>
      </c>
      <c r="B17" s="166"/>
      <c r="C17" s="163"/>
      <c r="D17" s="167"/>
      <c r="E17" s="165"/>
      <c r="F17" s="167"/>
      <c r="G17" s="165"/>
      <c r="H17" s="167"/>
      <c r="I17" s="167"/>
    </row>
    <row r="18" spans="1:10" ht="15.75" x14ac:dyDescent="0.25">
      <c r="A18" s="16" t="s">
        <v>132</v>
      </c>
      <c r="B18" s="166">
        <f>+Cost!C14+Cost!C15+Cost!C16</f>
        <v>29</v>
      </c>
      <c r="C18" s="163"/>
      <c r="D18" s="167"/>
      <c r="E18" s="165"/>
      <c r="F18" s="167"/>
      <c r="G18" s="165"/>
      <c r="H18" s="167"/>
      <c r="I18" s="167"/>
    </row>
    <row r="19" spans="1:10" ht="15.75" x14ac:dyDescent="0.25">
      <c r="A19" s="15" t="s">
        <v>45</v>
      </c>
      <c r="B19" s="162">
        <v>0</v>
      </c>
      <c r="C19" s="163">
        <f>+'Repayment Schedule'!B22</f>
        <v>1.8682863816340978</v>
      </c>
      <c r="D19" s="163">
        <f>+'Repayment Schedule'!C22</f>
        <v>4.0145903077711464</v>
      </c>
      <c r="E19" s="163">
        <f>+'Repayment Schedule'!D22</f>
        <v>4.4160493385482624</v>
      </c>
      <c r="F19" s="163">
        <f>+'Repayment Schedule'!E22</f>
        <v>4.8576542724030904</v>
      </c>
      <c r="G19" s="163">
        <f>+'Repayment Schedule'!F22</f>
        <v>5.3434196996434009</v>
      </c>
      <c r="H19" s="163">
        <f>+'Repayment Schedule'!G22</f>
        <v>0</v>
      </c>
      <c r="I19" s="163">
        <f>+'Repayment Schedule'!H22</f>
        <v>0</v>
      </c>
    </row>
    <row r="20" spans="1:10" ht="15.75" x14ac:dyDescent="0.25">
      <c r="A20" s="15" t="s">
        <v>46</v>
      </c>
      <c r="B20" s="162">
        <v>0</v>
      </c>
      <c r="C20" s="163">
        <v>0</v>
      </c>
      <c r="D20" s="167">
        <v>0</v>
      </c>
      <c r="E20" s="165">
        <v>1</v>
      </c>
      <c r="F20" s="167">
        <v>1.5</v>
      </c>
      <c r="G20" s="165">
        <v>1.5</v>
      </c>
      <c r="H20" s="167">
        <v>1.5</v>
      </c>
      <c r="I20" s="167">
        <v>1.5</v>
      </c>
    </row>
    <row r="21" spans="1:10" ht="15.75" x14ac:dyDescent="0.25">
      <c r="A21" s="15" t="s">
        <v>47</v>
      </c>
      <c r="B21" s="162">
        <v>0</v>
      </c>
      <c r="C21" s="163">
        <v>0.5</v>
      </c>
      <c r="D21" s="167">
        <v>0.75</v>
      </c>
      <c r="E21" s="165">
        <v>1</v>
      </c>
      <c r="F21" s="167">
        <v>1.25</v>
      </c>
      <c r="G21" s="165">
        <v>1.5</v>
      </c>
      <c r="H21" s="167">
        <v>1.5</v>
      </c>
      <c r="I21" s="167">
        <v>2</v>
      </c>
    </row>
    <row r="22" spans="1:10" ht="15.75" x14ac:dyDescent="0.25">
      <c r="A22" s="22" t="s">
        <v>43</v>
      </c>
      <c r="B22" s="168">
        <f>SUM(B18:B21)</f>
        <v>29</v>
      </c>
      <c r="C22" s="169">
        <f>SUM(C19:C21)</f>
        <v>2.368286381634098</v>
      </c>
      <c r="D22" s="169">
        <f t="shared" ref="D22:I22" si="1">SUM(D19:D21)</f>
        <v>4.7645903077711464</v>
      </c>
      <c r="E22" s="169">
        <f t="shared" si="1"/>
        <v>6.4160493385482624</v>
      </c>
      <c r="F22" s="169">
        <f t="shared" si="1"/>
        <v>7.6076542724030904</v>
      </c>
      <c r="G22" s="169">
        <f t="shared" si="1"/>
        <v>8.3434196996434018</v>
      </c>
      <c r="H22" s="169">
        <f t="shared" si="1"/>
        <v>3</v>
      </c>
      <c r="I22" s="170">
        <f t="shared" si="1"/>
        <v>3.5</v>
      </c>
    </row>
    <row r="23" spans="1:10" ht="15.75" x14ac:dyDescent="0.25">
      <c r="A23" s="22"/>
      <c r="B23" s="168"/>
      <c r="C23" s="169"/>
      <c r="D23" s="170"/>
      <c r="E23" s="171"/>
      <c r="F23" s="170"/>
      <c r="G23" s="171"/>
      <c r="H23" s="170"/>
      <c r="I23" s="170"/>
    </row>
    <row r="24" spans="1:10" ht="15.75" x14ac:dyDescent="0.25">
      <c r="A24" s="22" t="s">
        <v>183</v>
      </c>
      <c r="B24" s="168">
        <f>+B15-B22</f>
        <v>5</v>
      </c>
      <c r="C24" s="168">
        <f t="shared" ref="C24:I24" si="2">+C15-C22</f>
        <v>4.4077941823352083</v>
      </c>
      <c r="D24" s="168">
        <f t="shared" si="2"/>
        <v>2.8192204974262642</v>
      </c>
      <c r="E24" s="168">
        <f t="shared" si="2"/>
        <v>2.004278969348551</v>
      </c>
      <c r="F24" s="168">
        <f t="shared" si="2"/>
        <v>1.7087919072130671</v>
      </c>
      <c r="G24" s="168">
        <f t="shared" si="2"/>
        <v>2.9074358983015358</v>
      </c>
      <c r="H24" s="168">
        <f t="shared" si="2"/>
        <v>9.9200762427081308</v>
      </c>
      <c r="I24" s="334">
        <f t="shared" si="2"/>
        <v>11.66657580405281</v>
      </c>
    </row>
    <row r="25" spans="1:10" ht="15.75" x14ac:dyDescent="0.25">
      <c r="A25" s="22"/>
      <c r="B25" s="168"/>
      <c r="C25" s="169"/>
      <c r="D25" s="170"/>
      <c r="E25" s="171"/>
      <c r="F25" s="170"/>
      <c r="G25" s="171"/>
      <c r="H25" s="170"/>
      <c r="I25" s="170"/>
    </row>
    <row r="26" spans="1:10" ht="15.75" x14ac:dyDescent="0.25">
      <c r="A26" s="16" t="s">
        <v>182</v>
      </c>
      <c r="B26" s="162"/>
      <c r="C26" s="174"/>
      <c r="D26" s="175"/>
      <c r="E26" s="176"/>
      <c r="F26" s="175"/>
      <c r="G26" s="176"/>
      <c r="H26" s="175"/>
      <c r="I26" s="175"/>
    </row>
    <row r="27" spans="1:10" ht="15.75" x14ac:dyDescent="0.25">
      <c r="A27" s="20" t="s">
        <v>49</v>
      </c>
      <c r="B27" s="331">
        <v>0</v>
      </c>
      <c r="C27" s="173">
        <f>-BS!B29</f>
        <v>-3.2671232876712324</v>
      </c>
      <c r="D27" s="164">
        <f>BS!B29-BS!C29</f>
        <v>-0.32671232876712386</v>
      </c>
      <c r="E27" s="173">
        <f>BS!C29-BS!D29</f>
        <v>-0.35938356164383611</v>
      </c>
      <c r="F27" s="164">
        <f>BS!D29-BS!E29</f>
        <v>-0.4169527397260282</v>
      </c>
      <c r="G27" s="173">
        <f>BS!E29-BS!F29</f>
        <v>-0.43701719178082232</v>
      </c>
      <c r="H27" s="164">
        <f>BS!F29-BS!G29</f>
        <v>-0.48071891095890429</v>
      </c>
      <c r="I27" s="333">
        <f>BS!G29-BS!H29</f>
        <v>-0.5287908020547949</v>
      </c>
    </row>
    <row r="28" spans="1:10" ht="15.75" x14ac:dyDescent="0.25">
      <c r="A28" s="32" t="s">
        <v>180</v>
      </c>
      <c r="B28" s="281">
        <v>0</v>
      </c>
      <c r="C28" s="165">
        <f>-BS!B31</f>
        <v>-2</v>
      </c>
      <c r="D28" s="167">
        <f>+'P &amp; L'!B14-'P &amp; L'!C14</f>
        <v>-1.5</v>
      </c>
      <c r="E28" s="165">
        <f>+'P &amp; L'!C14-'P &amp; L'!D14</f>
        <v>-1</v>
      </c>
      <c r="F28" s="167">
        <f>+'P &amp; L'!D14-'P &amp; L'!E14</f>
        <v>-0.25</v>
      </c>
      <c r="G28" s="165">
        <f>+'P &amp; L'!E14-'P &amp; L'!F14</f>
        <v>-0.65000000000000036</v>
      </c>
      <c r="H28" s="167">
        <f>+'P &amp; L'!F14-'P &amp; L'!G14</f>
        <v>-1.0999999999999996</v>
      </c>
      <c r="I28" s="172">
        <f>+'P &amp; L'!G14-'P &amp; L'!H14</f>
        <v>-1.4000000000000004</v>
      </c>
      <c r="J28" s="106"/>
    </row>
    <row r="29" spans="1:10" ht="15.75" x14ac:dyDescent="0.25">
      <c r="A29" s="32" t="s">
        <v>50</v>
      </c>
      <c r="B29" s="281">
        <v>0</v>
      </c>
      <c r="C29" s="165">
        <f>BS!B17</f>
        <v>1.1095890410958904</v>
      </c>
      <c r="D29" s="167">
        <f>BS!C17-BS!B17</f>
        <v>0.11095890410958908</v>
      </c>
      <c r="E29" s="165">
        <f>BS!D17-BS!C17</f>
        <v>0.12205479452054813</v>
      </c>
      <c r="F29" s="167">
        <f>BS!E17-BS!D17</f>
        <v>0.13426027397260287</v>
      </c>
      <c r="G29" s="165">
        <f>BS!F17-BS!E17</f>
        <v>0.14768630136986349</v>
      </c>
      <c r="H29" s="167">
        <f>BS!G17-BS!F17</f>
        <v>0.16245493150684931</v>
      </c>
      <c r="I29" s="172">
        <f>BS!H17-BS!G17</f>
        <v>0.17870042465753433</v>
      </c>
      <c r="J29" s="106"/>
    </row>
    <row r="30" spans="1:10" ht="15.75" x14ac:dyDescent="0.25">
      <c r="A30" s="33" t="s">
        <v>232</v>
      </c>
      <c r="B30" s="332">
        <v>0</v>
      </c>
      <c r="C30" s="176">
        <f>BS!B16</f>
        <v>0.8</v>
      </c>
      <c r="D30" s="175">
        <f>BS!C16-BS!B16</f>
        <v>-0.15000000000000002</v>
      </c>
      <c r="E30" s="176">
        <f>BS!D16-BS!C16</f>
        <v>0.54999999999999993</v>
      </c>
      <c r="F30" s="175">
        <f>BS!E16-BS!D16</f>
        <v>0.25</v>
      </c>
      <c r="G30" s="176">
        <f>BS!F16-BS!E16</f>
        <v>0.19999999999999996</v>
      </c>
      <c r="H30" s="175">
        <f>BS!G16-BS!F16</f>
        <v>0.15000000000000013</v>
      </c>
      <c r="I30" s="223">
        <f>BS!H16-BS!G16</f>
        <v>0.30000000000000004</v>
      </c>
    </row>
    <row r="31" spans="1:10" ht="15.75" x14ac:dyDescent="0.25">
      <c r="A31" s="16" t="s">
        <v>51</v>
      </c>
      <c r="B31" s="166">
        <f>+B10-B22</f>
        <v>5</v>
      </c>
      <c r="C31" s="169">
        <f>SUM(C27:C30)+C24</f>
        <v>1.0502599357598665</v>
      </c>
      <c r="D31" s="169">
        <f t="shared" ref="D31:I31" si="3">SUM(D27:D30)+D24</f>
        <v>0.95346707276872955</v>
      </c>
      <c r="E31" s="169">
        <f t="shared" si="3"/>
        <v>1.316950202225263</v>
      </c>
      <c r="F31" s="169">
        <f t="shared" si="3"/>
        <v>1.4260994414596417</v>
      </c>
      <c r="G31" s="169">
        <f t="shared" si="3"/>
        <v>2.1681050078905768</v>
      </c>
      <c r="H31" s="169">
        <f t="shared" si="3"/>
        <v>8.6518122632560761</v>
      </c>
      <c r="I31" s="335">
        <f t="shared" si="3"/>
        <v>10.216485426655549</v>
      </c>
    </row>
    <row r="32" spans="1:10" ht="15.75" x14ac:dyDescent="0.25">
      <c r="A32" s="16" t="s">
        <v>52</v>
      </c>
      <c r="B32" s="166">
        <v>0</v>
      </c>
      <c r="C32" s="169">
        <f>+B33</f>
        <v>5</v>
      </c>
      <c r="D32" s="170">
        <f>C33</f>
        <v>6.0502599357598665</v>
      </c>
      <c r="E32" s="171">
        <f t="shared" ref="E32:I32" si="4">D33</f>
        <v>7.0037270085285961</v>
      </c>
      <c r="F32" s="170">
        <f t="shared" si="4"/>
        <v>8.3206772107538587</v>
      </c>
      <c r="G32" s="171">
        <f t="shared" si="4"/>
        <v>9.7467766522134998</v>
      </c>
      <c r="H32" s="170">
        <f t="shared" si="4"/>
        <v>11.914881660104076</v>
      </c>
      <c r="I32" s="170">
        <f t="shared" si="4"/>
        <v>20.566693923360152</v>
      </c>
    </row>
    <row r="33" spans="1:10" ht="15.75" x14ac:dyDescent="0.25">
      <c r="A33" s="21" t="s">
        <v>53</v>
      </c>
      <c r="B33" s="147">
        <f>B31+B32</f>
        <v>5</v>
      </c>
      <c r="C33" s="147">
        <f>C31+C32</f>
        <v>6.0502599357598665</v>
      </c>
      <c r="D33" s="148">
        <f t="shared" ref="D33:I33" si="5">D31+D32</f>
        <v>7.0037270085285961</v>
      </c>
      <c r="E33" s="149">
        <f t="shared" si="5"/>
        <v>8.3206772107538587</v>
      </c>
      <c r="F33" s="148">
        <f t="shared" si="5"/>
        <v>9.7467766522134998</v>
      </c>
      <c r="G33" s="149">
        <f t="shared" si="5"/>
        <v>11.914881660104076</v>
      </c>
      <c r="H33" s="148">
        <f t="shared" si="5"/>
        <v>20.566693923360152</v>
      </c>
      <c r="I33" s="148">
        <f t="shared" si="5"/>
        <v>30.7831793500157</v>
      </c>
      <c r="J33" s="102"/>
    </row>
    <row r="34" spans="1:10" ht="15.75" x14ac:dyDescent="0.25">
      <c r="A34" s="10"/>
      <c r="B34" s="63"/>
      <c r="C34" s="13"/>
      <c r="D34" s="13"/>
      <c r="E34" s="13"/>
      <c r="F34" s="13"/>
      <c r="G34" s="13"/>
      <c r="H34" s="13"/>
      <c r="I34" s="13"/>
    </row>
    <row r="35" spans="1:10" x14ac:dyDescent="0.25">
      <c r="A35" s="8"/>
      <c r="B35" s="80"/>
      <c r="C35" s="12"/>
      <c r="D35" s="12"/>
      <c r="E35" s="12"/>
      <c r="F35" s="12"/>
      <c r="G35" s="12"/>
      <c r="H35" s="12"/>
      <c r="I35" s="12"/>
    </row>
  </sheetData>
  <sheetProtection sheet="1" objects="1" scenarios="1" selectLockedCells="1" selectUnlockedCells="1"/>
  <mergeCells count="5">
    <mergeCell ref="A1:G1"/>
    <mergeCell ref="A2:G2"/>
    <mergeCell ref="A5:G5"/>
    <mergeCell ref="C7:G7"/>
    <mergeCell ref="F6:G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topLeftCell="A13" workbookViewId="0">
      <selection activeCell="E13" sqref="E13"/>
    </sheetView>
  </sheetViews>
  <sheetFormatPr defaultRowHeight="15" x14ac:dyDescent="0.25"/>
  <cols>
    <col min="1" max="1" width="41.5703125" customWidth="1"/>
    <col min="2" max="2" width="13.5703125" bestFit="1" customWidth="1"/>
    <col min="3" max="3" width="12.7109375" bestFit="1" customWidth="1"/>
    <col min="4" max="4" width="13.5703125" bestFit="1" customWidth="1"/>
    <col min="5" max="6" width="12.7109375" bestFit="1" customWidth="1"/>
    <col min="7" max="7" width="14.5703125" bestFit="1" customWidth="1"/>
    <col min="8" max="8" width="14.7109375" bestFit="1" customWidth="1"/>
  </cols>
  <sheetData>
    <row r="1" spans="1:11" ht="18.75" x14ac:dyDescent="0.3">
      <c r="A1" s="513" t="str">
        <f>+'Cash Flow Statement'!A1:I1</f>
        <v>M/s SMJ Interiors</v>
      </c>
      <c r="B1" s="513"/>
      <c r="C1" s="513"/>
      <c r="D1" s="513"/>
      <c r="E1" s="513"/>
      <c r="F1" s="513"/>
      <c r="G1" s="250"/>
      <c r="H1" s="250"/>
    </row>
    <row r="2" spans="1:11" ht="18.75" x14ac:dyDescent="0.3">
      <c r="A2" s="513" t="str">
        <f>+'Cash Flow Statement'!A2:I2</f>
        <v>(UPVC Window Making Plant)</v>
      </c>
      <c r="B2" s="513"/>
      <c r="C2" s="513"/>
      <c r="D2" s="513"/>
      <c r="E2" s="513"/>
      <c r="F2" s="513"/>
      <c r="G2" s="250"/>
      <c r="H2" s="250"/>
    </row>
    <row r="3" spans="1:11" ht="18.75" x14ac:dyDescent="0.3">
      <c r="A3" s="23"/>
      <c r="B3" s="23"/>
      <c r="C3" s="23"/>
      <c r="D3" s="23"/>
      <c r="E3" s="519" t="s">
        <v>220</v>
      </c>
      <c r="F3" s="519"/>
    </row>
    <row r="4" spans="1:11" ht="18.75" x14ac:dyDescent="0.3">
      <c r="A4" s="514" t="s">
        <v>54</v>
      </c>
      <c r="B4" s="514"/>
      <c r="C4" s="514"/>
      <c r="D4" s="514"/>
      <c r="E4" s="514"/>
      <c r="F4" s="514"/>
      <c r="G4" s="249"/>
      <c r="H4" s="249"/>
    </row>
    <row r="5" spans="1:11" ht="15.75" thickBot="1" x14ac:dyDescent="0.3">
      <c r="A5" s="27"/>
      <c r="B5" s="27"/>
      <c r="C5" s="27"/>
      <c r="D5" s="27"/>
      <c r="E5" s="522" t="s">
        <v>125</v>
      </c>
      <c r="F5" s="522"/>
      <c r="K5" t="s">
        <v>293</v>
      </c>
    </row>
    <row r="6" spans="1:11" ht="16.5" thickBot="1" x14ac:dyDescent="0.3">
      <c r="A6" s="29" t="s">
        <v>2</v>
      </c>
      <c r="B6" s="509" t="s">
        <v>3</v>
      </c>
      <c r="C6" s="510"/>
      <c r="D6" s="510"/>
      <c r="E6" s="510"/>
      <c r="F6" s="511"/>
      <c r="G6" s="251"/>
      <c r="H6" s="252"/>
    </row>
    <row r="7" spans="1:11" ht="16.5" thickBot="1" x14ac:dyDescent="0.3">
      <c r="A7" s="31"/>
      <c r="B7" s="104" t="s">
        <v>4</v>
      </c>
      <c r="C7" s="104" t="s">
        <v>5</v>
      </c>
      <c r="D7" s="104" t="s">
        <v>6</v>
      </c>
      <c r="E7" s="104" t="s">
        <v>7</v>
      </c>
      <c r="F7" s="104" t="s">
        <v>8</v>
      </c>
      <c r="G7" s="104" t="s">
        <v>9</v>
      </c>
      <c r="H7" s="7" t="s">
        <v>10</v>
      </c>
      <c r="K7" s="445">
        <v>0.05</v>
      </c>
    </row>
    <row r="8" spans="1:11" ht="15.75" x14ac:dyDescent="0.25">
      <c r="A8" s="28"/>
      <c r="B8" s="83"/>
      <c r="C8" s="83"/>
      <c r="D8" s="83"/>
      <c r="E8" s="83"/>
      <c r="F8" s="83"/>
      <c r="G8" s="83"/>
      <c r="H8" s="82"/>
    </row>
    <row r="9" spans="1:11" ht="15.75" x14ac:dyDescent="0.25">
      <c r="A9" s="28" t="s">
        <v>52</v>
      </c>
      <c r="B9" s="131">
        <v>0</v>
      </c>
      <c r="C9" s="131">
        <f>B18</f>
        <v>6.6223305639693066</v>
      </c>
      <c r="D9" s="131">
        <f t="shared" ref="D9:H9" si="0">C18</f>
        <v>10.319641369166717</v>
      </c>
      <c r="E9" s="131">
        <f t="shared" si="0"/>
        <v>15.10932592706353</v>
      </c>
      <c r="F9" s="131">
        <f t="shared" si="0"/>
        <v>20.945601044179689</v>
      </c>
      <c r="G9" s="131">
        <f t="shared" si="0"/>
        <v>28.813008951499626</v>
      </c>
      <c r="H9" s="132">
        <f t="shared" si="0"/>
        <v>38.627832598426508</v>
      </c>
      <c r="J9">
        <v>23</v>
      </c>
      <c r="K9">
        <v>371000</v>
      </c>
    </row>
    <row r="10" spans="1:11" ht="15.75" x14ac:dyDescent="0.25">
      <c r="A10" s="28"/>
      <c r="B10" s="131"/>
      <c r="C10" s="131"/>
      <c r="D10" s="131"/>
      <c r="E10" s="131"/>
      <c r="F10" s="131"/>
      <c r="G10" s="131"/>
      <c r="H10" s="132"/>
      <c r="J10">
        <f>+J9*12</f>
        <v>276</v>
      </c>
      <c r="K10">
        <f>+K9-250000</f>
        <v>121000</v>
      </c>
    </row>
    <row r="11" spans="1:11" ht="15.75" x14ac:dyDescent="0.25">
      <c r="A11" s="30" t="s">
        <v>55</v>
      </c>
      <c r="B11" s="131"/>
      <c r="C11" s="131"/>
      <c r="D11" s="131"/>
      <c r="E11" s="131"/>
      <c r="F11" s="131"/>
      <c r="G11" s="131"/>
      <c r="H11" s="132"/>
      <c r="J11">
        <f>+J10*1.3</f>
        <v>358.8</v>
      </c>
      <c r="K11">
        <f>+K10*0.05</f>
        <v>6050</v>
      </c>
    </row>
    <row r="12" spans="1:11" ht="15.75" x14ac:dyDescent="0.25">
      <c r="A12" s="28" t="s">
        <v>56</v>
      </c>
      <c r="B12" s="131">
        <f>+Cost!C23</f>
        <v>4.1500000000000004</v>
      </c>
      <c r="C12" s="131"/>
      <c r="D12" s="131"/>
      <c r="E12" s="131"/>
      <c r="F12" s="131"/>
      <c r="G12" s="131"/>
      <c r="H12" s="132"/>
    </row>
    <row r="13" spans="1:11" ht="16.5" thickBot="1" x14ac:dyDescent="0.3">
      <c r="A13" s="28" t="s">
        <v>57</v>
      </c>
      <c r="B13" s="133">
        <f>'P &amp; L'!B39</f>
        <v>2.9723305639693063</v>
      </c>
      <c r="C13" s="133">
        <f>'P &amp; L'!C39</f>
        <v>4.4473108051974108</v>
      </c>
      <c r="D13" s="133">
        <f>'P &amp; L'!D39</f>
        <v>5.7896845578968126</v>
      </c>
      <c r="E13" s="133">
        <f>'P &amp; L'!E39</f>
        <v>7.0862751171161582</v>
      </c>
      <c r="F13" s="133">
        <f>'P &amp; L'!F39</f>
        <v>9.3674079073199383</v>
      </c>
      <c r="G13" s="133">
        <f>'P &amp; L'!G39</f>
        <v>11.314823646926881</v>
      </c>
      <c r="H13" s="134">
        <f>'P &amp; L'!H39</f>
        <v>13.798221244763747</v>
      </c>
    </row>
    <row r="14" spans="1:11" ht="15.75" x14ac:dyDescent="0.25">
      <c r="A14" s="28" t="s">
        <v>58</v>
      </c>
      <c r="B14" s="131">
        <f>B12+B13</f>
        <v>7.1223305639693066</v>
      </c>
      <c r="C14" s="131">
        <f>C9+C13</f>
        <v>11.069641369166717</v>
      </c>
      <c r="D14" s="131">
        <f t="shared" ref="D14:H14" si="1">D9+D13</f>
        <v>16.10932592706353</v>
      </c>
      <c r="E14" s="131">
        <f t="shared" si="1"/>
        <v>22.195601044179689</v>
      </c>
      <c r="F14" s="131">
        <f t="shared" si="1"/>
        <v>30.313008951499626</v>
      </c>
      <c r="G14" s="131">
        <f t="shared" si="1"/>
        <v>40.127832598426508</v>
      </c>
      <c r="H14" s="437">
        <f t="shared" si="1"/>
        <v>52.426053843190253</v>
      </c>
    </row>
    <row r="15" spans="1:11" ht="15.75" x14ac:dyDescent="0.25">
      <c r="A15" s="28"/>
      <c r="B15" s="131"/>
      <c r="C15" s="131"/>
      <c r="D15" s="131"/>
      <c r="E15" s="131"/>
      <c r="F15" s="131"/>
      <c r="G15" s="131"/>
      <c r="H15" s="132"/>
    </row>
    <row r="16" spans="1:11" ht="15.75" x14ac:dyDescent="0.25">
      <c r="A16" s="28" t="s">
        <v>59</v>
      </c>
      <c r="B16" s="131">
        <f>+'Cash Flow Statement'!C21</f>
        <v>0.5</v>
      </c>
      <c r="C16" s="131">
        <f>+'Cash Flow Statement'!D21</f>
        <v>0.75</v>
      </c>
      <c r="D16" s="131">
        <f>+'Cash Flow Statement'!E21</f>
        <v>1</v>
      </c>
      <c r="E16" s="131">
        <f>+'Cash Flow Statement'!F21</f>
        <v>1.25</v>
      </c>
      <c r="F16" s="131">
        <f>+'Cash Flow Statement'!G21</f>
        <v>1.5</v>
      </c>
      <c r="G16" s="131">
        <f>+'Cash Flow Statement'!H21</f>
        <v>1.5</v>
      </c>
      <c r="H16" s="132">
        <f>+'Cash Flow Statement'!I21</f>
        <v>2</v>
      </c>
    </row>
    <row r="17" spans="1:9" ht="16.5" thickBot="1" x14ac:dyDescent="0.3">
      <c r="A17" s="28"/>
      <c r="B17" s="133"/>
      <c r="C17" s="133"/>
      <c r="D17" s="133"/>
      <c r="E17" s="133"/>
      <c r="F17" s="133"/>
      <c r="G17" s="133"/>
      <c r="H17" s="134"/>
    </row>
    <row r="18" spans="1:9" ht="16.5" thickBot="1" x14ac:dyDescent="0.3">
      <c r="A18" s="446" t="s">
        <v>48</v>
      </c>
      <c r="B18" s="135">
        <f>B14-B16</f>
        <v>6.6223305639693066</v>
      </c>
      <c r="C18" s="135">
        <f t="shared" ref="C18:H18" si="2">C14-C16</f>
        <v>10.319641369166717</v>
      </c>
      <c r="D18" s="135">
        <f t="shared" si="2"/>
        <v>15.10932592706353</v>
      </c>
      <c r="E18" s="135">
        <f t="shared" si="2"/>
        <v>20.945601044179689</v>
      </c>
      <c r="F18" s="135">
        <f t="shared" si="2"/>
        <v>28.813008951499626</v>
      </c>
      <c r="G18" s="135">
        <f t="shared" si="2"/>
        <v>38.627832598426508</v>
      </c>
      <c r="H18" s="136">
        <f t="shared" si="2"/>
        <v>50.426053843190253</v>
      </c>
    </row>
    <row r="20" spans="1:9" x14ac:dyDescent="0.25">
      <c r="A20" s="43"/>
      <c r="B20" s="43"/>
      <c r="C20" s="43"/>
      <c r="D20" s="43"/>
      <c r="E20" s="43"/>
      <c r="F20" s="43"/>
      <c r="G20" s="43"/>
      <c r="H20" s="43"/>
    </row>
    <row r="21" spans="1:9" ht="15.75" x14ac:dyDescent="0.25">
      <c r="A21" s="24"/>
      <c r="B21" s="24"/>
      <c r="C21" s="24"/>
      <c r="D21" s="24"/>
      <c r="E21" s="24"/>
      <c r="F21" s="391" t="s">
        <v>213</v>
      </c>
      <c r="G21" s="391"/>
    </row>
    <row r="22" spans="1:9" ht="18.75" x14ac:dyDescent="0.3">
      <c r="A22" s="514" t="s">
        <v>60</v>
      </c>
      <c r="B22" s="514"/>
      <c r="C22" s="514"/>
      <c r="D22" s="514"/>
      <c r="E22" s="514"/>
      <c r="F22" s="514"/>
      <c r="G22" s="514"/>
      <c r="H22" s="514"/>
    </row>
    <row r="23" spans="1:9" ht="15.75" thickBot="1" x14ac:dyDescent="0.3">
      <c r="A23" s="25"/>
      <c r="B23" s="25"/>
      <c r="C23" s="25"/>
      <c r="D23" s="25"/>
      <c r="F23" s="433" t="s">
        <v>125</v>
      </c>
      <c r="G23" s="25"/>
      <c r="I23" s="433"/>
    </row>
    <row r="24" spans="1:9" ht="16.5" thickBot="1" x14ac:dyDescent="0.3">
      <c r="A24" s="475" t="s">
        <v>61</v>
      </c>
      <c r="B24" s="509" t="s">
        <v>3</v>
      </c>
      <c r="C24" s="510"/>
      <c r="D24" s="510"/>
      <c r="E24" s="510"/>
      <c r="F24" s="511"/>
      <c r="G24" s="473"/>
      <c r="H24" s="474"/>
      <c r="I24" s="106"/>
    </row>
    <row r="25" spans="1:9" ht="15.75" x14ac:dyDescent="0.25">
      <c r="A25" s="40"/>
      <c r="B25" s="476" t="s">
        <v>4</v>
      </c>
      <c r="C25" s="477" t="s">
        <v>5</v>
      </c>
      <c r="D25" s="477" t="s">
        <v>6</v>
      </c>
      <c r="E25" s="477" t="s">
        <v>7</v>
      </c>
      <c r="F25" s="478" t="s">
        <v>8</v>
      </c>
      <c r="G25" s="34" t="s">
        <v>9</v>
      </c>
      <c r="H25" s="35" t="s">
        <v>10</v>
      </c>
    </row>
    <row r="26" spans="1:9" ht="15.75" x14ac:dyDescent="0.25">
      <c r="A26" s="32"/>
      <c r="B26" s="20"/>
      <c r="C26" s="109"/>
      <c r="D26" s="107"/>
      <c r="E26" s="109"/>
      <c r="F26" s="107"/>
      <c r="G26" s="109"/>
      <c r="H26" s="109"/>
    </row>
    <row r="27" spans="1:9" ht="15.75" x14ac:dyDescent="0.25">
      <c r="A27" s="32"/>
      <c r="B27" s="32"/>
      <c r="C27" s="41"/>
      <c r="D27" s="62"/>
      <c r="E27" s="41"/>
      <c r="F27" s="62"/>
      <c r="G27" s="41"/>
      <c r="H27" s="41"/>
    </row>
    <row r="28" spans="1:9" ht="15.75" x14ac:dyDescent="0.25">
      <c r="A28" s="32" t="s">
        <v>62</v>
      </c>
      <c r="B28" s="137">
        <f>'P &amp; L'!B37</f>
        <v>2.9723305639693063</v>
      </c>
      <c r="C28" s="138">
        <f>'P &amp; L'!C37</f>
        <v>4.6636786724415673</v>
      </c>
      <c r="D28" s="139">
        <f>'P &amp; L'!D37</f>
        <v>6.0440939532186801</v>
      </c>
      <c r="E28" s="138">
        <f>'P &amp; L'!E37</f>
        <v>7.4291945745735095</v>
      </c>
      <c r="F28" s="139">
        <f>'P &amp; L'!F37</f>
        <v>9.9637865636888208</v>
      </c>
      <c r="G28" s="138">
        <f>'P &amp; L'!G37</f>
        <v>12.127581829918757</v>
      </c>
      <c r="H28" s="138">
        <f>'P &amp; L'!H37</f>
        <v>14.88691249418194</v>
      </c>
    </row>
    <row r="29" spans="1:9" ht="15.75" x14ac:dyDescent="0.25">
      <c r="A29" s="32" t="s">
        <v>63</v>
      </c>
      <c r="B29" s="140"/>
      <c r="C29" s="141"/>
      <c r="D29" s="103"/>
      <c r="E29" s="141"/>
      <c r="F29" s="103"/>
      <c r="G29" s="141"/>
      <c r="H29" s="141"/>
    </row>
    <row r="30" spans="1:9" ht="15.75" x14ac:dyDescent="0.25">
      <c r="A30" s="32" t="s">
        <v>112</v>
      </c>
      <c r="B30" s="140">
        <v>0</v>
      </c>
      <c r="C30" s="141">
        <v>0</v>
      </c>
      <c r="D30" s="141">
        <v>0</v>
      </c>
      <c r="E30" s="141">
        <v>0</v>
      </c>
      <c r="F30" s="141">
        <v>0</v>
      </c>
      <c r="G30" s="141">
        <v>0</v>
      </c>
      <c r="H30" s="141">
        <v>0</v>
      </c>
    </row>
    <row r="31" spans="1:9" ht="15.75" x14ac:dyDescent="0.25">
      <c r="A31" s="32"/>
      <c r="B31" s="140"/>
      <c r="C31" s="141"/>
      <c r="D31" s="103"/>
      <c r="E31" s="141"/>
      <c r="F31" s="103"/>
      <c r="G31" s="141"/>
      <c r="H31" s="141"/>
    </row>
    <row r="32" spans="1:9" ht="15.75" x14ac:dyDescent="0.25">
      <c r="A32" s="32" t="s">
        <v>111</v>
      </c>
      <c r="B32" s="137">
        <f>+'Cash Flow Statement'!C20</f>
        <v>0</v>
      </c>
      <c r="C32" s="137">
        <f>+'Cash Flow Statement'!D20</f>
        <v>0</v>
      </c>
      <c r="D32" s="137">
        <f>+'Cash Flow Statement'!E20</f>
        <v>1</v>
      </c>
      <c r="E32" s="137">
        <f>+'Cash Flow Statement'!F20</f>
        <v>1.5</v>
      </c>
      <c r="F32" s="137">
        <f>+'Cash Flow Statement'!G20</f>
        <v>1.5</v>
      </c>
      <c r="G32" s="137">
        <f>+'Cash Flow Statement'!H20</f>
        <v>1.5</v>
      </c>
      <c r="H32" s="137">
        <f>+'Cash Flow Statement'!I20</f>
        <v>1.5</v>
      </c>
    </row>
    <row r="33" spans="1:10" ht="15.75" x14ac:dyDescent="0.25">
      <c r="A33" s="16" t="s">
        <v>64</v>
      </c>
      <c r="B33" s="143">
        <f>B28-B32</f>
        <v>2.9723305639693063</v>
      </c>
      <c r="C33" s="144">
        <f>C28+C30-C32</f>
        <v>4.6636786724415673</v>
      </c>
      <c r="D33" s="144">
        <f t="shared" ref="D33:H33" si="3">D28-D32</f>
        <v>5.0440939532186801</v>
      </c>
      <c r="E33" s="144">
        <f t="shared" si="3"/>
        <v>5.9291945745735095</v>
      </c>
      <c r="F33" s="144">
        <f t="shared" si="3"/>
        <v>8.4637865636888208</v>
      </c>
      <c r="G33" s="144">
        <f t="shared" si="3"/>
        <v>10.627581829918757</v>
      </c>
      <c r="H33" s="144">
        <f t="shared" si="3"/>
        <v>13.38691249418194</v>
      </c>
      <c r="J33" s="100"/>
    </row>
    <row r="34" spans="1:10" ht="15.75" x14ac:dyDescent="0.25">
      <c r="A34" s="32"/>
      <c r="B34" s="140"/>
      <c r="C34" s="141"/>
      <c r="D34" s="103"/>
      <c r="E34" s="141"/>
      <c r="F34" s="103"/>
      <c r="G34" s="141"/>
      <c r="H34" s="142"/>
    </row>
    <row r="35" spans="1:10" ht="15.75" x14ac:dyDescent="0.25">
      <c r="A35" s="16" t="s">
        <v>274</v>
      </c>
      <c r="B35" s="145">
        <v>0</v>
      </c>
      <c r="C35" s="145">
        <f t="shared" ref="C35:E35" si="4">+(C33-2.5)*0.1</f>
        <v>0.21636786724415674</v>
      </c>
      <c r="D35" s="145">
        <f t="shared" si="4"/>
        <v>0.25440939532186801</v>
      </c>
      <c r="E35" s="145">
        <f t="shared" si="4"/>
        <v>0.34291945745735097</v>
      </c>
      <c r="F35" s="145">
        <f>+(F33-2.5)*0.1</f>
        <v>0.5963786563688821</v>
      </c>
      <c r="G35" s="145">
        <f t="shared" ref="G35:H35" si="5">+(G33-2.5)*0.1</f>
        <v>0.81275818299187574</v>
      </c>
      <c r="H35" s="145">
        <f t="shared" si="5"/>
        <v>1.0886912494181942</v>
      </c>
    </row>
    <row r="36" spans="1:10" ht="15.75" x14ac:dyDescent="0.25">
      <c r="A36" s="16" t="s">
        <v>65</v>
      </c>
      <c r="B36" s="100">
        <f>B35</f>
        <v>0</v>
      </c>
      <c r="C36" s="145">
        <f t="shared" ref="C36:D36" si="6">C35</f>
        <v>0.21636786724415674</v>
      </c>
      <c r="D36" s="146">
        <f t="shared" si="6"/>
        <v>0.25440939532186801</v>
      </c>
      <c r="E36" s="145">
        <f>E35*1.03</f>
        <v>0.35320704118107149</v>
      </c>
      <c r="F36" s="145">
        <f t="shared" ref="F36:H36" si="7">F35*1.03</f>
        <v>0.61427001605994858</v>
      </c>
      <c r="G36" s="145">
        <f t="shared" si="7"/>
        <v>0.83714092848163202</v>
      </c>
      <c r="H36" s="145">
        <f t="shared" si="7"/>
        <v>1.12135198690074</v>
      </c>
    </row>
    <row r="37" spans="1:10" ht="15.75" x14ac:dyDescent="0.25">
      <c r="A37" s="33"/>
      <c r="B37" s="33"/>
      <c r="C37" s="42"/>
      <c r="D37" s="38"/>
      <c r="E37" s="42"/>
      <c r="F37" s="38"/>
      <c r="G37" s="42"/>
      <c r="H37" s="39"/>
    </row>
    <row r="38" spans="1:10" ht="15.75" x14ac:dyDescent="0.25">
      <c r="A38" s="44"/>
      <c r="B38" s="26"/>
      <c r="C38" s="26"/>
      <c r="D38" s="26"/>
      <c r="E38" s="26"/>
      <c r="F38" s="26"/>
      <c r="G38" s="26"/>
      <c r="H38" s="37"/>
    </row>
    <row r="39" spans="1:10" ht="15.75" x14ac:dyDescent="0.25">
      <c r="A39" s="520" t="s">
        <v>294</v>
      </c>
      <c r="B39" s="521"/>
      <c r="C39" s="521"/>
      <c r="D39" s="521"/>
      <c r="E39" s="521"/>
      <c r="F39" s="521"/>
      <c r="G39" s="45"/>
      <c r="H39" s="46"/>
    </row>
    <row r="40" spans="1:10" ht="15.75" x14ac:dyDescent="0.25">
      <c r="A40" s="47"/>
      <c r="B40" s="48"/>
      <c r="C40" s="48"/>
      <c r="D40" s="48"/>
      <c r="E40" s="49"/>
      <c r="F40" s="48"/>
      <c r="G40" s="48"/>
      <c r="H40" s="50"/>
    </row>
    <row r="41" spans="1:10" x14ac:dyDescent="0.25">
      <c r="A41" s="24"/>
      <c r="B41" s="24"/>
      <c r="C41" s="24"/>
      <c r="D41" s="24"/>
      <c r="E41" s="24"/>
      <c r="F41" s="24"/>
      <c r="G41" s="24"/>
      <c r="H41" s="24"/>
    </row>
    <row r="42" spans="1:10" ht="15.75" x14ac:dyDescent="0.25">
      <c r="A42" s="24"/>
      <c r="B42" s="24"/>
      <c r="C42" s="24"/>
      <c r="D42" s="24"/>
      <c r="E42" s="36"/>
      <c r="F42" s="24"/>
      <c r="G42" s="24"/>
      <c r="H42" s="24"/>
    </row>
    <row r="43" spans="1:10" x14ac:dyDescent="0.25">
      <c r="A43" s="43"/>
      <c r="B43" s="43"/>
      <c r="C43" s="43"/>
      <c r="D43" s="43"/>
      <c r="E43" s="43"/>
      <c r="F43" s="43"/>
      <c r="G43" s="43"/>
      <c r="H43" s="43"/>
    </row>
    <row r="44" spans="1:10" x14ac:dyDescent="0.25">
      <c r="A44" s="43"/>
      <c r="B44" s="43"/>
      <c r="C44" s="43"/>
      <c r="D44" s="43"/>
      <c r="E44" s="43"/>
      <c r="F44" s="43"/>
      <c r="G44" s="43"/>
      <c r="H44" s="43"/>
    </row>
    <row r="45" spans="1:10" x14ac:dyDescent="0.25">
      <c r="A45" s="43"/>
      <c r="B45" s="43"/>
      <c r="C45" s="43"/>
      <c r="D45" s="43"/>
      <c r="E45" s="43"/>
      <c r="F45" s="43"/>
      <c r="G45" s="43"/>
      <c r="H45" s="43"/>
    </row>
    <row r="46" spans="1:10" x14ac:dyDescent="0.25">
      <c r="A46" s="43"/>
      <c r="B46" s="43"/>
      <c r="C46" s="43"/>
      <c r="D46" s="43"/>
      <c r="E46" s="43"/>
      <c r="F46" s="43"/>
      <c r="G46" s="43"/>
      <c r="H46" s="43"/>
    </row>
    <row r="47" spans="1:10" x14ac:dyDescent="0.25">
      <c r="A47" s="43"/>
      <c r="B47" s="43"/>
      <c r="C47" s="43"/>
      <c r="D47" s="43"/>
      <c r="E47" s="43"/>
      <c r="F47" s="43"/>
      <c r="G47" s="43"/>
      <c r="H47" s="43"/>
    </row>
    <row r="48" spans="1:10" x14ac:dyDescent="0.25">
      <c r="A48" s="43"/>
      <c r="B48" s="43"/>
      <c r="C48" s="43"/>
      <c r="D48" s="43"/>
      <c r="E48" s="43"/>
      <c r="F48" s="43"/>
      <c r="G48" s="43"/>
      <c r="H48" s="43"/>
    </row>
    <row r="49" spans="1:8" x14ac:dyDescent="0.25">
      <c r="A49" s="43"/>
      <c r="B49" s="43"/>
      <c r="C49" s="43"/>
      <c r="D49" s="43"/>
      <c r="E49" s="43"/>
      <c r="F49" s="43"/>
      <c r="G49" s="43"/>
      <c r="H49" s="43"/>
    </row>
  </sheetData>
  <sheetProtection sheet="1" objects="1" scenarios="1" selectLockedCells="1" selectUnlockedCells="1"/>
  <mergeCells count="9">
    <mergeCell ref="A1:F1"/>
    <mergeCell ref="E3:F3"/>
    <mergeCell ref="A39:F39"/>
    <mergeCell ref="A2:F2"/>
    <mergeCell ref="E5:F5"/>
    <mergeCell ref="A22:H22"/>
    <mergeCell ref="B6:F6"/>
    <mergeCell ref="A4:F4"/>
    <mergeCell ref="B24:F2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workbookViewId="0">
      <selection activeCell="E13" sqref="E13"/>
    </sheetView>
  </sheetViews>
  <sheetFormatPr defaultRowHeight="15" x14ac:dyDescent="0.25"/>
  <cols>
    <col min="1" max="1" width="30" customWidth="1"/>
    <col min="2" max="2" width="12.42578125" bestFit="1" customWidth="1"/>
    <col min="3" max="3" width="15.42578125" bestFit="1" customWidth="1"/>
    <col min="4" max="4" width="14.42578125" bestFit="1" customWidth="1"/>
    <col min="5" max="5" width="15.42578125" bestFit="1" customWidth="1"/>
    <col min="6" max="6" width="13.28515625" bestFit="1" customWidth="1"/>
    <col min="8" max="8" width="10.5703125" bestFit="1" customWidth="1"/>
  </cols>
  <sheetData>
    <row r="1" spans="1:10" ht="18.75" x14ac:dyDescent="0.3">
      <c r="A1" s="513" t="str">
        <f>+'Cap &amp; Tax'!A1:H1</f>
        <v>M/s SMJ Interiors</v>
      </c>
      <c r="B1" s="513"/>
      <c r="C1" s="513"/>
      <c r="D1" s="513"/>
      <c r="E1" s="513"/>
      <c r="F1" s="513"/>
    </row>
    <row r="2" spans="1:10" ht="18.75" x14ac:dyDescent="0.3">
      <c r="A2" s="513" t="str">
        <f>+'Cap &amp; Tax'!A2:H2</f>
        <v>(UPVC Window Making Plant)</v>
      </c>
      <c r="B2" s="513"/>
      <c r="C2" s="513"/>
      <c r="D2" s="513"/>
      <c r="E2" s="513"/>
      <c r="F2" s="513"/>
    </row>
    <row r="3" spans="1:10" x14ac:dyDescent="0.25">
      <c r="F3" s="242" t="s">
        <v>214</v>
      </c>
    </row>
    <row r="4" spans="1:10" ht="18.75" x14ac:dyDescent="0.3">
      <c r="A4" s="59" t="s">
        <v>120</v>
      </c>
      <c r="B4" s="59"/>
      <c r="C4" s="59"/>
      <c r="D4" s="59"/>
      <c r="E4" s="59"/>
      <c r="F4" s="59"/>
    </row>
    <row r="5" spans="1:10" ht="15.75" thickBot="1" x14ac:dyDescent="0.3">
      <c r="A5" s="52"/>
      <c r="B5" s="52"/>
      <c r="C5" s="52"/>
      <c r="D5" s="52"/>
      <c r="E5" s="52"/>
      <c r="F5" s="243" t="s">
        <v>125</v>
      </c>
    </row>
    <row r="6" spans="1:10" ht="15.75" x14ac:dyDescent="0.25">
      <c r="A6" s="56" t="s">
        <v>66</v>
      </c>
      <c r="B6" s="110" t="s">
        <v>67</v>
      </c>
      <c r="C6" s="53" t="s">
        <v>68</v>
      </c>
      <c r="D6" s="53" t="s">
        <v>69</v>
      </c>
      <c r="E6" s="53" t="s">
        <v>70</v>
      </c>
      <c r="F6" s="6" t="s">
        <v>15</v>
      </c>
    </row>
    <row r="7" spans="1:10" ht="16.5" thickBot="1" x14ac:dyDescent="0.3">
      <c r="A7" s="57"/>
      <c r="B7" s="111">
        <v>0.1</v>
      </c>
      <c r="C7" s="55">
        <v>0.15</v>
      </c>
      <c r="D7" s="55">
        <v>0.1</v>
      </c>
      <c r="E7" s="55">
        <v>0.6</v>
      </c>
      <c r="F7" s="112"/>
    </row>
    <row r="8" spans="1:10" ht="15.75" x14ac:dyDescent="0.25">
      <c r="A8" s="58" t="s">
        <v>71</v>
      </c>
      <c r="B8" s="83"/>
      <c r="C8" s="62"/>
      <c r="D8" s="62"/>
      <c r="E8" s="62"/>
      <c r="F8" s="82"/>
    </row>
    <row r="9" spans="1:10" ht="15.75" x14ac:dyDescent="0.25">
      <c r="A9" s="54" t="s">
        <v>52</v>
      </c>
      <c r="B9" s="123">
        <v>0</v>
      </c>
      <c r="C9" s="103">
        <f>+Cost!C14</f>
        <v>27</v>
      </c>
      <c r="D9" s="103">
        <f>+Cost!C15</f>
        <v>1.55</v>
      </c>
      <c r="E9" s="103">
        <f>+Cost!C16</f>
        <v>0.45</v>
      </c>
      <c r="F9" s="124">
        <f>B9+E9+D9+C9</f>
        <v>29</v>
      </c>
      <c r="H9" s="103">
        <f>+'Repayment Schedule'!E8</f>
        <v>4.3499999999999996</v>
      </c>
      <c r="J9" s="330"/>
    </row>
    <row r="10" spans="1:10" ht="16.5" thickBot="1" x14ac:dyDescent="0.3">
      <c r="A10" s="54" t="s">
        <v>72</v>
      </c>
      <c r="B10" s="125">
        <v>0</v>
      </c>
      <c r="C10" s="126">
        <f>+$H$9*C9/$F$9</f>
        <v>4.05</v>
      </c>
      <c r="D10" s="126">
        <f t="shared" ref="D10:E10" si="0">+$H$9*D9/$F$9</f>
        <v>0.23249999999999998</v>
      </c>
      <c r="E10" s="126">
        <f t="shared" si="0"/>
        <v>6.7499999999999991E-2</v>
      </c>
      <c r="F10" s="127">
        <f>E10+D10+B10+C10</f>
        <v>4.3499999999999996</v>
      </c>
      <c r="H10" s="103"/>
      <c r="J10" s="330"/>
    </row>
    <row r="11" spans="1:10" ht="15.75" x14ac:dyDescent="0.25">
      <c r="A11" s="54"/>
      <c r="B11" s="123">
        <f>B9-B10</f>
        <v>0</v>
      </c>
      <c r="C11" s="103">
        <f>C9-C10</f>
        <v>22.95</v>
      </c>
      <c r="D11" s="103">
        <f>D9-D10</f>
        <v>1.3175000000000001</v>
      </c>
      <c r="E11" s="103">
        <f>E9-E10</f>
        <v>0.38250000000000001</v>
      </c>
      <c r="F11" s="124">
        <f>B11+E11+D11+C11</f>
        <v>24.65</v>
      </c>
      <c r="J11" s="330"/>
    </row>
    <row r="12" spans="1:10" ht="16.5" thickBot="1" x14ac:dyDescent="0.3">
      <c r="A12" s="54" t="s">
        <v>73</v>
      </c>
      <c r="B12" s="125">
        <f>B11*10/100</f>
        <v>0</v>
      </c>
      <c r="C12" s="126">
        <f>C11*15/100</f>
        <v>3.4424999999999999</v>
      </c>
      <c r="D12" s="126">
        <f>D11*10/100</f>
        <v>0.13175000000000001</v>
      </c>
      <c r="E12" s="126">
        <f>E11*60/100</f>
        <v>0.22949999999999998</v>
      </c>
      <c r="F12" s="124">
        <f>B12+E12+D12+C12</f>
        <v>3.80375</v>
      </c>
      <c r="H12" s="328"/>
      <c r="J12" s="329"/>
    </row>
    <row r="13" spans="1:10" ht="16.5" thickBot="1" x14ac:dyDescent="0.3">
      <c r="A13" s="54" t="s">
        <v>74</v>
      </c>
      <c r="B13" s="128">
        <f>B11-B12</f>
        <v>0</v>
      </c>
      <c r="C13" s="129">
        <f>C11-C12</f>
        <v>19.5075</v>
      </c>
      <c r="D13" s="129">
        <f>D11-D12</f>
        <v>1.1857500000000001</v>
      </c>
      <c r="E13" s="129">
        <f>E11-E12</f>
        <v>0.15300000000000002</v>
      </c>
      <c r="F13" s="130">
        <f>F11-F12</f>
        <v>20.846249999999998</v>
      </c>
    </row>
    <row r="14" spans="1:10" ht="15.75" x14ac:dyDescent="0.25">
      <c r="A14" s="54"/>
      <c r="B14" s="123"/>
      <c r="C14" s="103"/>
      <c r="D14" s="103"/>
      <c r="E14" s="103"/>
      <c r="F14" s="124"/>
    </row>
    <row r="15" spans="1:10" ht="15.75" x14ac:dyDescent="0.25">
      <c r="A15" s="58" t="s">
        <v>75</v>
      </c>
      <c r="B15" s="123"/>
      <c r="C15" s="103"/>
      <c r="D15" s="103"/>
      <c r="E15" s="103"/>
      <c r="F15" s="124"/>
    </row>
    <row r="16" spans="1:10" ht="15.75" x14ac:dyDescent="0.25">
      <c r="A16" s="54" t="s">
        <v>52</v>
      </c>
      <c r="B16" s="123">
        <f>B13</f>
        <v>0</v>
      </c>
      <c r="C16" s="103">
        <f t="shared" ref="C16:F16" si="1">C13</f>
        <v>19.5075</v>
      </c>
      <c r="D16" s="103">
        <f t="shared" si="1"/>
        <v>1.1857500000000001</v>
      </c>
      <c r="E16" s="103">
        <f t="shared" si="1"/>
        <v>0.15300000000000002</v>
      </c>
      <c r="F16" s="124">
        <f t="shared" si="1"/>
        <v>20.846249999999998</v>
      </c>
    </row>
    <row r="17" spans="1:8" ht="16.5" thickBot="1" x14ac:dyDescent="0.3">
      <c r="A17" s="54" t="s">
        <v>73</v>
      </c>
      <c r="B17" s="125">
        <f>B12</f>
        <v>0</v>
      </c>
      <c r="C17" s="126">
        <f>C16*15/100</f>
        <v>2.9261250000000003</v>
      </c>
      <c r="D17" s="126">
        <f>D16*10/100</f>
        <v>0.11857500000000001</v>
      </c>
      <c r="E17" s="126">
        <f>E16*60/100</f>
        <v>9.180000000000002E-2</v>
      </c>
      <c r="F17" s="124">
        <f>B17+E17+D17+C17</f>
        <v>3.1365000000000003</v>
      </c>
    </row>
    <row r="18" spans="1:8" ht="16.5" thickBot="1" x14ac:dyDescent="0.3">
      <c r="A18" s="54" t="s">
        <v>74</v>
      </c>
      <c r="B18" s="128">
        <f>B16-B17</f>
        <v>0</v>
      </c>
      <c r="C18" s="129">
        <f t="shared" ref="C18:F18" si="2">C16-C17</f>
        <v>16.581375000000001</v>
      </c>
      <c r="D18" s="129">
        <f t="shared" si="2"/>
        <v>1.067175</v>
      </c>
      <c r="E18" s="129">
        <f t="shared" si="2"/>
        <v>6.1200000000000004E-2</v>
      </c>
      <c r="F18" s="130">
        <f t="shared" si="2"/>
        <v>17.709749999999996</v>
      </c>
      <c r="H18" s="101"/>
    </row>
    <row r="19" spans="1:8" ht="15.75" x14ac:dyDescent="0.25">
      <c r="A19" s="54"/>
      <c r="B19" s="123"/>
      <c r="C19" s="103"/>
      <c r="D19" s="103"/>
      <c r="E19" s="103"/>
      <c r="F19" s="124"/>
    </row>
    <row r="20" spans="1:8" ht="15.75" x14ac:dyDescent="0.25">
      <c r="A20" s="58" t="s">
        <v>76</v>
      </c>
      <c r="B20" s="123"/>
      <c r="C20" s="103"/>
      <c r="D20" s="103"/>
      <c r="E20" s="103"/>
      <c r="F20" s="124"/>
    </row>
    <row r="21" spans="1:8" ht="15.75" x14ac:dyDescent="0.25">
      <c r="A21" s="54" t="s">
        <v>52</v>
      </c>
      <c r="B21" s="123">
        <f>B18</f>
        <v>0</v>
      </c>
      <c r="C21" s="103">
        <f t="shared" ref="C21:F21" si="3">C18</f>
        <v>16.581375000000001</v>
      </c>
      <c r="D21" s="103">
        <f t="shared" si="3"/>
        <v>1.067175</v>
      </c>
      <c r="E21" s="103">
        <f t="shared" si="3"/>
        <v>6.1200000000000004E-2</v>
      </c>
      <c r="F21" s="124">
        <f t="shared" si="3"/>
        <v>17.709749999999996</v>
      </c>
    </row>
    <row r="22" spans="1:8" ht="16.5" thickBot="1" x14ac:dyDescent="0.3">
      <c r="A22" s="54" t="s">
        <v>73</v>
      </c>
      <c r="B22" s="125">
        <f>B17</f>
        <v>0</v>
      </c>
      <c r="C22" s="126">
        <f>C21*15/100</f>
        <v>2.4872062500000003</v>
      </c>
      <c r="D22" s="126">
        <f>D21*10/100</f>
        <v>0.10671749999999999</v>
      </c>
      <c r="E22" s="126">
        <f>E21*60/100</f>
        <v>3.6720000000000003E-2</v>
      </c>
      <c r="F22" s="124">
        <f>B22+E22+D22+C22</f>
        <v>2.6306437500000004</v>
      </c>
    </row>
    <row r="23" spans="1:8" ht="16.5" thickBot="1" x14ac:dyDescent="0.3">
      <c r="A23" s="54" t="s">
        <v>74</v>
      </c>
      <c r="B23" s="128">
        <f t="shared" ref="B23:F23" si="4">B21-B22</f>
        <v>0</v>
      </c>
      <c r="C23" s="129">
        <f t="shared" si="4"/>
        <v>14.094168750000001</v>
      </c>
      <c r="D23" s="129">
        <f t="shared" si="4"/>
        <v>0.96045749999999996</v>
      </c>
      <c r="E23" s="129">
        <f t="shared" si="4"/>
        <v>2.4480000000000002E-2</v>
      </c>
      <c r="F23" s="130">
        <f t="shared" si="4"/>
        <v>15.079106249999995</v>
      </c>
      <c r="H23" s="101"/>
    </row>
    <row r="24" spans="1:8" ht="15.75" x14ac:dyDescent="0.25">
      <c r="A24" s="54"/>
      <c r="B24" s="123"/>
      <c r="C24" s="103"/>
      <c r="D24" s="103"/>
      <c r="E24" s="103"/>
      <c r="F24" s="124"/>
    </row>
    <row r="25" spans="1:8" ht="15.75" x14ac:dyDescent="0.25">
      <c r="A25" s="58" t="s">
        <v>77</v>
      </c>
      <c r="B25" s="123"/>
      <c r="C25" s="103"/>
      <c r="D25" s="103"/>
      <c r="E25" s="103"/>
      <c r="F25" s="124"/>
    </row>
    <row r="26" spans="1:8" ht="15.75" x14ac:dyDescent="0.25">
      <c r="A26" s="54" t="s">
        <v>52</v>
      </c>
      <c r="B26" s="123">
        <f>B23</f>
        <v>0</v>
      </c>
      <c r="C26" s="103">
        <f t="shared" ref="C26:F26" si="5">C23</f>
        <v>14.094168750000001</v>
      </c>
      <c r="D26" s="103">
        <f t="shared" si="5"/>
        <v>0.96045749999999996</v>
      </c>
      <c r="E26" s="103">
        <f t="shared" si="5"/>
        <v>2.4480000000000002E-2</v>
      </c>
      <c r="F26" s="124">
        <f t="shared" si="5"/>
        <v>15.079106249999995</v>
      </c>
    </row>
    <row r="27" spans="1:8" ht="16.5" thickBot="1" x14ac:dyDescent="0.3">
      <c r="A27" s="54" t="s">
        <v>73</v>
      </c>
      <c r="B27" s="125">
        <f>B22</f>
        <v>0</v>
      </c>
      <c r="C27" s="126">
        <f>C26*15/100</f>
        <v>2.1141253125000001</v>
      </c>
      <c r="D27" s="126">
        <f>D26*10/100</f>
        <v>9.6045749999999999E-2</v>
      </c>
      <c r="E27" s="126">
        <v>0.02</v>
      </c>
      <c r="F27" s="124">
        <f>B27+E27+D27+C27</f>
        <v>2.2301710625000002</v>
      </c>
    </row>
    <row r="28" spans="1:8" ht="16.5" thickBot="1" x14ac:dyDescent="0.3">
      <c r="A28" s="54" t="s">
        <v>74</v>
      </c>
      <c r="B28" s="128">
        <f t="shared" ref="B28" si="6">B26-B27</f>
        <v>0</v>
      </c>
      <c r="C28" s="129">
        <f t="shared" ref="C28" si="7">C26-C27</f>
        <v>11.980043437500001</v>
      </c>
      <c r="D28" s="129">
        <f t="shared" ref="D28" si="8">D26-D27</f>
        <v>0.86441174999999992</v>
      </c>
      <c r="E28" s="129">
        <f t="shared" ref="E28" si="9">E26-E27</f>
        <v>4.4800000000000013E-3</v>
      </c>
      <c r="F28" s="130">
        <f t="shared" ref="F28" si="10">F26-F27</f>
        <v>12.848935187499995</v>
      </c>
    </row>
    <row r="29" spans="1:8" ht="15.75" x14ac:dyDescent="0.25">
      <c r="A29" s="54"/>
      <c r="B29" s="123"/>
      <c r="C29" s="103"/>
      <c r="D29" s="103"/>
      <c r="E29" s="103"/>
      <c r="F29" s="124"/>
    </row>
    <row r="30" spans="1:8" ht="15.75" x14ac:dyDescent="0.25">
      <c r="A30" s="58" t="s">
        <v>78</v>
      </c>
      <c r="B30" s="123"/>
      <c r="C30" s="103"/>
      <c r="D30" s="103"/>
      <c r="E30" s="103"/>
      <c r="F30" s="124"/>
    </row>
    <row r="31" spans="1:8" ht="15.75" x14ac:dyDescent="0.25">
      <c r="A31" s="54" t="s">
        <v>52</v>
      </c>
      <c r="B31" s="123">
        <f>B28</f>
        <v>0</v>
      </c>
      <c r="C31" s="103">
        <f t="shared" ref="C31:F31" si="11">C28</f>
        <v>11.980043437500001</v>
      </c>
      <c r="D31" s="103">
        <f t="shared" si="11"/>
        <v>0.86441174999999992</v>
      </c>
      <c r="E31" s="103"/>
      <c r="F31" s="124">
        <f t="shared" si="11"/>
        <v>12.848935187499995</v>
      </c>
    </row>
    <row r="32" spans="1:8" ht="16.5" thickBot="1" x14ac:dyDescent="0.3">
      <c r="A32" s="54" t="s">
        <v>73</v>
      </c>
      <c r="B32" s="125">
        <f>B27</f>
        <v>0</v>
      </c>
      <c r="C32" s="126">
        <f>C31*15/100</f>
        <v>1.7970065156250001</v>
      </c>
      <c r="D32" s="126">
        <f>D31*10/100</f>
        <v>8.6441174999999995E-2</v>
      </c>
      <c r="E32" s="126"/>
      <c r="F32" s="124">
        <f>B32+E32+D32+C32</f>
        <v>1.8834476906250002</v>
      </c>
    </row>
    <row r="33" spans="1:6" ht="16.5" thickBot="1" x14ac:dyDescent="0.3">
      <c r="A33" s="54" t="s">
        <v>74</v>
      </c>
      <c r="B33" s="128">
        <f t="shared" ref="B33" si="12">B31-B32</f>
        <v>0</v>
      </c>
      <c r="C33" s="129">
        <f t="shared" ref="C33" si="13">C31-C32</f>
        <v>10.183036921875001</v>
      </c>
      <c r="D33" s="129">
        <f t="shared" ref="D33" si="14">D31-D32</f>
        <v>0.77797057499999989</v>
      </c>
      <c r="E33" s="129">
        <f t="shared" ref="E33" si="15">E31-E32</f>
        <v>0</v>
      </c>
      <c r="F33" s="130">
        <f t="shared" ref="F33" si="16">F31-F32</f>
        <v>10.965487496874996</v>
      </c>
    </row>
    <row r="34" spans="1:6" ht="15.75" x14ac:dyDescent="0.25">
      <c r="A34" s="54"/>
      <c r="B34" s="123"/>
      <c r="C34" s="103"/>
      <c r="D34" s="103"/>
      <c r="E34" s="103"/>
      <c r="F34" s="124"/>
    </row>
    <row r="35" spans="1:6" ht="15.75" x14ac:dyDescent="0.25">
      <c r="A35" s="58" t="s">
        <v>79</v>
      </c>
      <c r="B35" s="123"/>
      <c r="C35" s="103"/>
      <c r="D35" s="103"/>
      <c r="E35" s="103"/>
      <c r="F35" s="124"/>
    </row>
    <row r="36" spans="1:6" ht="15.75" x14ac:dyDescent="0.25">
      <c r="A36" s="54" t="s">
        <v>52</v>
      </c>
      <c r="B36" s="123">
        <f>B33</f>
        <v>0</v>
      </c>
      <c r="C36" s="103">
        <f t="shared" ref="C36:F36" si="17">C33</f>
        <v>10.183036921875001</v>
      </c>
      <c r="D36" s="103">
        <f t="shared" si="17"/>
        <v>0.77797057499999989</v>
      </c>
      <c r="E36" s="103"/>
      <c r="F36" s="124">
        <f t="shared" si="17"/>
        <v>10.965487496874996</v>
      </c>
    </row>
    <row r="37" spans="1:6" ht="16.5" thickBot="1" x14ac:dyDescent="0.3">
      <c r="A37" s="54" t="s">
        <v>73</v>
      </c>
      <c r="B37" s="125">
        <f>B32</f>
        <v>0</v>
      </c>
      <c r="C37" s="126">
        <f>C36*15/100</f>
        <v>1.5274555382812502</v>
      </c>
      <c r="D37" s="126">
        <f>D36*10/100</f>
        <v>7.7797057499999989E-2</v>
      </c>
      <c r="E37" s="126"/>
      <c r="F37" s="124">
        <f>B37+E37+D37+C37</f>
        <v>1.6052525957812502</v>
      </c>
    </row>
    <row r="38" spans="1:6" ht="16.5" thickBot="1" x14ac:dyDescent="0.3">
      <c r="A38" s="54" t="s">
        <v>74</v>
      </c>
      <c r="B38" s="128">
        <f t="shared" ref="B38" si="18">B36-B37</f>
        <v>0</v>
      </c>
      <c r="C38" s="129">
        <f t="shared" ref="C38" si="19">C36-C37</f>
        <v>8.6555813835937503</v>
      </c>
      <c r="D38" s="129">
        <f t="shared" ref="D38" si="20">D36-D37</f>
        <v>0.7001735174999999</v>
      </c>
      <c r="E38" s="129">
        <f t="shared" ref="E38" si="21">E36-E37</f>
        <v>0</v>
      </c>
      <c r="F38" s="130">
        <f t="shared" ref="F38" si="22">F36-F37</f>
        <v>9.3602349010937456</v>
      </c>
    </row>
    <row r="39" spans="1:6" ht="15.75" x14ac:dyDescent="0.25">
      <c r="A39" s="54"/>
      <c r="B39" s="123"/>
      <c r="C39" s="103"/>
      <c r="D39" s="103"/>
      <c r="E39" s="103"/>
      <c r="F39" s="124"/>
    </row>
    <row r="40" spans="1:6" ht="15.75" x14ac:dyDescent="0.25">
      <c r="A40" s="58" t="s">
        <v>80</v>
      </c>
      <c r="B40" s="123"/>
      <c r="C40" s="103"/>
      <c r="D40" s="103"/>
      <c r="E40" s="103"/>
      <c r="F40" s="124"/>
    </row>
    <row r="41" spans="1:6" ht="15.75" x14ac:dyDescent="0.25">
      <c r="A41" s="54" t="s">
        <v>52</v>
      </c>
      <c r="B41" s="123">
        <f>B38</f>
        <v>0</v>
      </c>
      <c r="C41" s="103">
        <f t="shared" ref="C41:F41" si="23">C38</f>
        <v>8.6555813835937503</v>
      </c>
      <c r="D41" s="103">
        <f t="shared" si="23"/>
        <v>0.7001735174999999</v>
      </c>
      <c r="E41" s="103"/>
      <c r="F41" s="124">
        <f t="shared" si="23"/>
        <v>9.3602349010937456</v>
      </c>
    </row>
    <row r="42" spans="1:6" ht="16.5" thickBot="1" x14ac:dyDescent="0.3">
      <c r="A42" s="54" t="s">
        <v>73</v>
      </c>
      <c r="B42" s="125">
        <f>B37</f>
        <v>0</v>
      </c>
      <c r="C42" s="126">
        <f>C41*15/100</f>
        <v>1.2983372075390625</v>
      </c>
      <c r="D42" s="126">
        <f>D41*10/100</f>
        <v>7.0017351749999984E-2</v>
      </c>
      <c r="E42" s="126"/>
      <c r="F42" s="124">
        <f>B42+E42+D42+C42</f>
        <v>1.3683545592890625</v>
      </c>
    </row>
    <row r="43" spans="1:6" ht="16.5" thickBot="1" x14ac:dyDescent="0.3">
      <c r="A43" s="57" t="s">
        <v>74</v>
      </c>
      <c r="B43" s="128">
        <f t="shared" ref="B43" si="24">B41-B42</f>
        <v>0</v>
      </c>
      <c r="C43" s="129">
        <f t="shared" ref="C43" si="25">C41-C42</f>
        <v>7.3572441760546878</v>
      </c>
      <c r="D43" s="129">
        <f t="shared" ref="D43" si="26">D41-D42</f>
        <v>0.63015616574999989</v>
      </c>
      <c r="E43" s="129">
        <f t="shared" ref="E43" si="27">E41-E42</f>
        <v>0</v>
      </c>
      <c r="F43" s="130">
        <f>F41-F42</f>
        <v>7.9918803418046833</v>
      </c>
    </row>
    <row r="44" spans="1:6" ht="15.75" x14ac:dyDescent="0.25">
      <c r="A44" s="51"/>
      <c r="B44" s="51"/>
      <c r="C44" s="51"/>
      <c r="D44" s="51"/>
      <c r="E44" s="51"/>
      <c r="F44" s="51"/>
    </row>
  </sheetData>
  <sheetProtection sheet="1" objects="1" scenarios="1" selectLockedCells="1" selectUnlockedCells="1"/>
  <mergeCells count="2">
    <mergeCell ref="A1:F1"/>
    <mergeCell ref="A2:F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workbookViewId="0">
      <selection activeCell="E13" sqref="E13"/>
    </sheetView>
  </sheetViews>
  <sheetFormatPr defaultRowHeight="15" x14ac:dyDescent="0.25"/>
  <cols>
    <col min="1" max="1" width="41.140625" bestFit="1" customWidth="1"/>
    <col min="2" max="2" width="10.5703125" bestFit="1" customWidth="1"/>
    <col min="3" max="6" width="11.5703125" bestFit="1" customWidth="1"/>
    <col min="7" max="7" width="12.7109375" customWidth="1"/>
    <col min="8" max="8" width="12.140625" bestFit="1" customWidth="1"/>
  </cols>
  <sheetData>
    <row r="1" spans="1:8" ht="18.75" x14ac:dyDescent="0.3">
      <c r="A1" s="524" t="str">
        <f>+Dep!A1</f>
        <v>M/s SMJ Interiors</v>
      </c>
      <c r="B1" s="524"/>
      <c r="C1" s="524"/>
      <c r="D1" s="524"/>
      <c r="E1" s="524"/>
      <c r="F1" s="524"/>
      <c r="G1" s="250"/>
      <c r="H1" s="250"/>
    </row>
    <row r="2" spans="1:8" ht="18.75" x14ac:dyDescent="0.3">
      <c r="A2" s="524" t="str">
        <f>+Dep!A2</f>
        <v>(UPVC Window Making Plant)</v>
      </c>
      <c r="B2" s="524"/>
      <c r="C2" s="524"/>
      <c r="D2" s="524"/>
      <c r="E2" s="524"/>
      <c r="F2" s="524"/>
      <c r="G2" s="250"/>
      <c r="H2" s="250"/>
    </row>
    <row r="3" spans="1:8" ht="15.75" x14ac:dyDescent="0.25">
      <c r="A3" s="122"/>
      <c r="B3" s="122"/>
      <c r="C3" s="122"/>
      <c r="D3" s="122"/>
      <c r="E3" s="122"/>
      <c r="F3" s="241" t="s">
        <v>219</v>
      </c>
      <c r="G3" s="122"/>
    </row>
    <row r="4" spans="1:8" ht="18.75" x14ac:dyDescent="0.3">
      <c r="A4" s="514" t="s">
        <v>81</v>
      </c>
      <c r="B4" s="514"/>
      <c r="C4" s="514"/>
      <c r="D4" s="514"/>
      <c r="E4" s="514"/>
      <c r="F4" s="514"/>
      <c r="G4" s="249"/>
      <c r="H4" s="249"/>
    </row>
    <row r="5" spans="1:8" ht="15.75" thickBot="1" x14ac:dyDescent="0.3">
      <c r="A5" s="65"/>
      <c r="B5" s="61"/>
      <c r="C5" s="60"/>
      <c r="D5" s="60"/>
      <c r="E5" s="60"/>
      <c r="F5" s="60"/>
      <c r="G5" s="60"/>
      <c r="H5" s="60"/>
    </row>
    <row r="6" spans="1:8" ht="16.5" thickBot="1" x14ac:dyDescent="0.3">
      <c r="A6" s="69" t="s">
        <v>61</v>
      </c>
      <c r="B6" s="509" t="s">
        <v>3</v>
      </c>
      <c r="C6" s="510"/>
      <c r="D6" s="510"/>
      <c r="E6" s="510"/>
      <c r="F6" s="479"/>
    </row>
    <row r="7" spans="1:8" ht="16.5" thickBot="1" x14ac:dyDescent="0.3">
      <c r="A7" s="108"/>
      <c r="B7" s="389" t="s">
        <v>5</v>
      </c>
      <c r="C7" s="390" t="s">
        <v>6</v>
      </c>
      <c r="D7" s="390" t="s">
        <v>7</v>
      </c>
      <c r="E7" s="450" t="s">
        <v>8</v>
      </c>
      <c r="F7" s="75" t="s">
        <v>82</v>
      </c>
    </row>
    <row r="8" spans="1:8" ht="15.75" x14ac:dyDescent="0.25">
      <c r="A8" s="113"/>
      <c r="B8" s="441"/>
      <c r="C8" s="442"/>
      <c r="D8" s="442"/>
      <c r="E8" s="442"/>
      <c r="F8" s="480"/>
    </row>
    <row r="9" spans="1:8" ht="15.75" x14ac:dyDescent="0.25">
      <c r="A9" s="256" t="s">
        <v>83</v>
      </c>
      <c r="B9" s="440">
        <f>+(BS!B13+BS!B14)/BS!B11</f>
        <v>3.5684889768174721</v>
      </c>
      <c r="C9" s="426">
        <f>+(BS!C13+BS!C14)/BS!C11</f>
        <v>1.9009501017358306</v>
      </c>
      <c r="D9" s="426">
        <f>+(BS!D13+BS!D14)/BS!D11</f>
        <v>1.0060722791622774</v>
      </c>
      <c r="E9" s="426">
        <f>+(BS!E13+BS!E14)/BS!E11</f>
        <v>0.49382300740983542</v>
      </c>
      <c r="F9" s="481">
        <f>AVERAGE(B9:E9)</f>
        <v>1.742333591281354</v>
      </c>
    </row>
    <row r="10" spans="1:8" ht="15.75" x14ac:dyDescent="0.25">
      <c r="A10" s="257"/>
      <c r="B10" s="440"/>
      <c r="C10" s="426"/>
      <c r="D10" s="426"/>
      <c r="E10" s="426"/>
      <c r="F10" s="482"/>
    </row>
    <row r="11" spans="1:8" ht="15.75" x14ac:dyDescent="0.25">
      <c r="A11" s="256" t="s">
        <v>84</v>
      </c>
      <c r="B11" s="443">
        <f>('P &amp; L'!B37-'P &amp; L'!B31)/(BS!B11+BS!B13-BS!B34)</f>
        <v>3.4387012300629967E-2</v>
      </c>
      <c r="C11" s="444">
        <f>('P &amp; L'!C37-'P &amp; L'!C31)/(BS!C11+BS!C13-BS!C34)</f>
        <v>0.12246405594714636</v>
      </c>
      <c r="D11" s="444">
        <f>('P &amp; L'!D37-'P &amp; L'!D31)/(BS!D11+BS!D13-BS!D34)</f>
        <v>0.19105710204947798</v>
      </c>
      <c r="E11" s="444">
        <f>('P &amp; L'!E37-'P &amp; L'!E31)/(BS!E11+BS!E13-BS!E34)</f>
        <v>0.25343040642593861</v>
      </c>
      <c r="F11" s="483">
        <f>AVERAGE(C11:E11)</f>
        <v>0.18898385480752097</v>
      </c>
    </row>
    <row r="12" spans="1:8" ht="15.75" x14ac:dyDescent="0.25">
      <c r="A12" s="256" t="s">
        <v>85</v>
      </c>
      <c r="B12" s="440"/>
      <c r="C12" s="426"/>
      <c r="D12" s="426"/>
      <c r="E12" s="426"/>
      <c r="F12" s="482"/>
    </row>
    <row r="13" spans="1:8" ht="15.75" x14ac:dyDescent="0.25">
      <c r="A13" s="257"/>
      <c r="B13" s="440"/>
      <c r="C13" s="426"/>
      <c r="D13" s="426"/>
      <c r="E13" s="426"/>
      <c r="F13" s="482"/>
    </row>
    <row r="14" spans="1:8" ht="15.75" x14ac:dyDescent="0.25">
      <c r="A14" s="256" t="s">
        <v>86</v>
      </c>
      <c r="B14" s="440">
        <f>('P &amp; L'!B37+'P &amp; L'!B31)/'P &amp; L'!B31</f>
        <v>2.4127587364167233</v>
      </c>
      <c r="C14" s="426">
        <f>('P &amp; L'!C37+'P &amp; L'!C31)/'P &amp; L'!C31</f>
        <v>3.8970163288337227</v>
      </c>
      <c r="D14" s="426">
        <f>('P &amp; L'!D37+'P &amp; L'!D31)/'P &amp; L'!D31</f>
        <v>6.0018888948440097</v>
      </c>
      <c r="E14" s="426">
        <f>('P &amp; L'!E37+'P &amp; L'!E31)/'P &amp; L'!E31</f>
        <v>10.689107576637308</v>
      </c>
      <c r="F14" s="481">
        <f>AVERAGE(C14:E14)</f>
        <v>6.8626709334383476</v>
      </c>
    </row>
    <row r="15" spans="1:8" ht="15.75" x14ac:dyDescent="0.25">
      <c r="A15" s="256" t="s">
        <v>87</v>
      </c>
      <c r="B15" s="258"/>
      <c r="C15" s="116"/>
      <c r="D15" s="116"/>
      <c r="E15" s="116"/>
      <c r="F15" s="484"/>
    </row>
    <row r="16" spans="1:8" ht="15.75" x14ac:dyDescent="0.25">
      <c r="A16" s="83"/>
      <c r="B16" s="258"/>
      <c r="C16" s="116"/>
      <c r="D16" s="116"/>
      <c r="E16" s="116"/>
      <c r="F16" s="484"/>
    </row>
    <row r="17" spans="1:8" ht="15.75" x14ac:dyDescent="0.25">
      <c r="A17" s="83" t="s">
        <v>292</v>
      </c>
      <c r="B17" s="440">
        <f>+(SUM(BS!B29:B31)/(SUM(BS!A14:A17)+'Repayment Schedule'!C22))</f>
        <v>2.8190630564527961</v>
      </c>
      <c r="C17" s="426">
        <f>+(SUM(BS!C29:C31)/(SUM(BS!B14:B17)+'Repayment Schedule'!D22))</f>
        <v>1.2447477265656697</v>
      </c>
      <c r="D17" s="426">
        <f>+(SUM(BS!D29:D31)/(SUM(BS!C14:C17)+'Repayment Schedule'!E22))</f>
        <v>1.4302188926834787</v>
      </c>
      <c r="E17" s="426">
        <f>+(SUM(BS!E29:E31)/(SUM(BS!D14:D17)+'Repayment Schedule'!F22))</f>
        <v>1.4641405956565263</v>
      </c>
      <c r="F17" s="481">
        <f>AVERAGE(C17:E17)</f>
        <v>1.3797024049685582</v>
      </c>
    </row>
    <row r="18" spans="1:8" ht="16.5" thickBot="1" x14ac:dyDescent="0.3">
      <c r="A18" s="70"/>
      <c r="B18" s="259"/>
      <c r="C18" s="117"/>
      <c r="D18" s="117"/>
      <c r="E18" s="117"/>
      <c r="F18" s="485"/>
    </row>
    <row r="20" spans="1:8" ht="15.75" x14ac:dyDescent="0.25">
      <c r="A20" s="60"/>
      <c r="B20" s="60"/>
      <c r="C20" s="60"/>
      <c r="D20" s="60"/>
      <c r="E20" s="60"/>
      <c r="F20" s="241" t="s">
        <v>218</v>
      </c>
      <c r="G20" s="60"/>
    </row>
    <row r="21" spans="1:8" ht="18.75" x14ac:dyDescent="0.3">
      <c r="A21" s="514" t="s">
        <v>88</v>
      </c>
      <c r="B21" s="514"/>
      <c r="C21" s="514"/>
      <c r="D21" s="514"/>
      <c r="E21" s="514"/>
      <c r="F21" s="514"/>
      <c r="G21" s="249"/>
      <c r="H21" s="249"/>
    </row>
    <row r="22" spans="1:8" ht="15.75" thickBot="1" x14ac:dyDescent="0.3">
      <c r="A22" s="65"/>
      <c r="B22" s="65"/>
      <c r="C22" s="65"/>
      <c r="D22" s="65"/>
      <c r="E22" s="523" t="s">
        <v>125</v>
      </c>
      <c r="F22" s="523"/>
    </row>
    <row r="23" spans="1:8" ht="16.5" thickBot="1" x14ac:dyDescent="0.3">
      <c r="A23" s="69" t="s">
        <v>61</v>
      </c>
      <c r="B23" s="509" t="s">
        <v>3</v>
      </c>
      <c r="C23" s="510"/>
      <c r="D23" s="510"/>
      <c r="E23" s="510"/>
      <c r="F23" s="511"/>
      <c r="G23" s="251"/>
      <c r="H23" s="252"/>
    </row>
    <row r="24" spans="1:8" ht="16.5" thickBot="1" x14ac:dyDescent="0.3">
      <c r="A24" s="73"/>
      <c r="B24" s="179" t="s">
        <v>4</v>
      </c>
      <c r="C24" s="180" t="s">
        <v>5</v>
      </c>
      <c r="D24" s="180" t="s">
        <v>6</v>
      </c>
      <c r="E24" s="180" t="s">
        <v>7</v>
      </c>
      <c r="F24" s="181" t="s">
        <v>8</v>
      </c>
      <c r="G24" s="66" t="s">
        <v>9</v>
      </c>
      <c r="H24" s="67" t="s">
        <v>10</v>
      </c>
    </row>
    <row r="25" spans="1:8" ht="15.75" x14ac:dyDescent="0.25">
      <c r="A25" s="68"/>
      <c r="B25" s="113"/>
      <c r="C25" s="114"/>
      <c r="D25" s="114"/>
      <c r="E25" s="114"/>
      <c r="F25" s="115"/>
      <c r="G25" s="114"/>
      <c r="H25" s="115"/>
    </row>
    <row r="26" spans="1:8" ht="15.75" x14ac:dyDescent="0.25">
      <c r="A26" s="68" t="s">
        <v>89</v>
      </c>
      <c r="B26" s="150">
        <f>'P &amp; L'!B39</f>
        <v>2.9723305639693063</v>
      </c>
      <c r="C26" s="4">
        <f>'P &amp; L'!C39</f>
        <v>4.4473108051974108</v>
      </c>
      <c r="D26" s="4">
        <f>'P &amp; L'!D39</f>
        <v>5.7896845578968126</v>
      </c>
      <c r="E26" s="4">
        <f>'P &amp; L'!E39</f>
        <v>7.0862751171161582</v>
      </c>
      <c r="F26" s="151">
        <f>'P &amp; L'!F39</f>
        <v>9.3674079073199383</v>
      </c>
      <c r="G26" s="4">
        <f>'P &amp; L'!G39</f>
        <v>11.314823646926881</v>
      </c>
      <c r="H26" s="151">
        <f>'P &amp; L'!H39</f>
        <v>13.798221244763747</v>
      </c>
    </row>
    <row r="27" spans="1:8" ht="15.75" x14ac:dyDescent="0.25">
      <c r="A27" s="71" t="s">
        <v>42</v>
      </c>
      <c r="B27" s="150"/>
      <c r="C27" s="4"/>
      <c r="D27" s="4"/>
      <c r="E27" s="4"/>
      <c r="F27" s="151"/>
      <c r="G27" s="4"/>
      <c r="H27" s="151"/>
    </row>
    <row r="28" spans="1:8" ht="15.75" x14ac:dyDescent="0.25">
      <c r="A28" s="74" t="s">
        <v>38</v>
      </c>
      <c r="B28" s="150">
        <f>'P &amp; L'!B32</f>
        <v>3.80375</v>
      </c>
      <c r="C28" s="4">
        <f>'P &amp; L'!C32</f>
        <v>3.1365000000000003</v>
      </c>
      <c r="D28" s="4">
        <f>'P &amp; L'!D32</f>
        <v>2.6306437500000004</v>
      </c>
      <c r="E28" s="4">
        <f>'P &amp; L'!E32</f>
        <v>2.2301710625000002</v>
      </c>
      <c r="F28" s="151">
        <f>'P &amp; L'!F32</f>
        <v>1.8834476906250002</v>
      </c>
      <c r="G28" s="4">
        <f>'P &amp; L'!G32</f>
        <v>1.6052525957812502</v>
      </c>
      <c r="H28" s="151">
        <f>'P &amp; L'!H32</f>
        <v>1.3683545592890625</v>
      </c>
    </row>
    <row r="29" spans="1:8" ht="15.75" x14ac:dyDescent="0.25">
      <c r="A29" s="74" t="s">
        <v>90</v>
      </c>
      <c r="B29" s="150">
        <f>'P &amp; L'!B31</f>
        <v>2.1039194360306928</v>
      </c>
      <c r="C29" s="4">
        <f>'P &amp; L'!C31</f>
        <v>1.609821327558435</v>
      </c>
      <c r="D29" s="4">
        <f>'P &amp; L'!D31</f>
        <v>1.2083622967813188</v>
      </c>
      <c r="E29" s="4">
        <f>'P &amp; L'!E31</f>
        <v>0.76675736292649133</v>
      </c>
      <c r="F29" s="151">
        <f>'P &amp; L'!F31</f>
        <v>0.2809919356861808</v>
      </c>
      <c r="G29" s="4">
        <f>'P &amp; L'!G31</f>
        <v>0</v>
      </c>
      <c r="H29" s="151">
        <f>'P &amp; L'!H31</f>
        <v>0</v>
      </c>
    </row>
    <row r="30" spans="1:8" ht="16.5" thickBot="1" x14ac:dyDescent="0.3">
      <c r="A30" s="68"/>
      <c r="B30" s="152"/>
      <c r="C30" s="153"/>
      <c r="D30" s="153"/>
      <c r="E30" s="153"/>
      <c r="F30" s="154"/>
      <c r="G30" s="153"/>
      <c r="H30" s="154"/>
    </row>
    <row r="31" spans="1:8" ht="16.5" thickBot="1" x14ac:dyDescent="0.3">
      <c r="A31" s="71" t="s">
        <v>91</v>
      </c>
      <c r="B31" s="155">
        <f>B26+B28+B29</f>
        <v>8.879999999999999</v>
      </c>
      <c r="C31" s="155">
        <f t="shared" ref="C31:H31" si="0">C26+C28+C29</f>
        <v>9.1936321327558463</v>
      </c>
      <c r="D31" s="155">
        <f t="shared" si="0"/>
        <v>9.6286906046781322</v>
      </c>
      <c r="E31" s="155">
        <f t="shared" si="0"/>
        <v>10.083203542542648</v>
      </c>
      <c r="F31" s="156">
        <f t="shared" si="0"/>
        <v>11.531847533631119</v>
      </c>
      <c r="G31" s="253">
        <f t="shared" si="0"/>
        <v>12.920076242708131</v>
      </c>
      <c r="H31" s="156">
        <f t="shared" si="0"/>
        <v>15.16657580405281</v>
      </c>
    </row>
    <row r="32" spans="1:8" ht="15.75" x14ac:dyDescent="0.25">
      <c r="A32" s="68"/>
      <c r="B32" s="150"/>
      <c r="C32" s="4"/>
      <c r="D32" s="4"/>
      <c r="E32" s="4"/>
      <c r="F32" s="151"/>
      <c r="G32" s="4"/>
      <c r="H32" s="151"/>
    </row>
    <row r="33" spans="1:8" ht="16.5" thickBot="1" x14ac:dyDescent="0.3">
      <c r="A33" s="68" t="s">
        <v>92</v>
      </c>
      <c r="B33" s="150">
        <f>+'Repayment Schedule'!B23</f>
        <v>3.9722058176647908</v>
      </c>
      <c r="C33" s="4">
        <f>+'Repayment Schedule'!C23</f>
        <v>5.6244116353295812</v>
      </c>
      <c r="D33" s="4">
        <f>+'Repayment Schedule'!D23</f>
        <v>5.6244116353295812</v>
      </c>
      <c r="E33" s="4">
        <f>+'Repayment Schedule'!E23</f>
        <v>5.6244116353295821</v>
      </c>
      <c r="F33" s="151">
        <f>+'Repayment Schedule'!F23</f>
        <v>5.6244116353295821</v>
      </c>
      <c r="G33" s="4">
        <f>+'Repayment Schedule'!G23</f>
        <v>0</v>
      </c>
      <c r="H33" s="4">
        <f>+'Repayment Schedule'!H23</f>
        <v>0</v>
      </c>
    </row>
    <row r="34" spans="1:8" ht="16.5" thickBot="1" x14ac:dyDescent="0.3">
      <c r="A34" s="71" t="s">
        <v>93</v>
      </c>
      <c r="B34" s="155">
        <f>B33</f>
        <v>3.9722058176647908</v>
      </c>
      <c r="C34" s="155">
        <f t="shared" ref="C34:H34" si="1">C33</f>
        <v>5.6244116353295812</v>
      </c>
      <c r="D34" s="155">
        <f t="shared" si="1"/>
        <v>5.6244116353295812</v>
      </c>
      <c r="E34" s="155">
        <f t="shared" si="1"/>
        <v>5.6244116353295821</v>
      </c>
      <c r="F34" s="156">
        <f t="shared" si="1"/>
        <v>5.6244116353295821</v>
      </c>
      <c r="G34" s="439">
        <f t="shared" si="1"/>
        <v>0</v>
      </c>
      <c r="H34" s="438">
        <f t="shared" si="1"/>
        <v>0</v>
      </c>
    </row>
    <row r="35" spans="1:8" ht="15.75" x14ac:dyDescent="0.25">
      <c r="A35" s="68"/>
      <c r="B35" s="113"/>
      <c r="C35" s="114"/>
      <c r="D35" s="114"/>
      <c r="E35" s="114"/>
      <c r="F35" s="115"/>
      <c r="G35" s="114"/>
      <c r="H35" s="115"/>
    </row>
    <row r="36" spans="1:8" ht="15.75" x14ac:dyDescent="0.25">
      <c r="A36" s="68"/>
      <c r="B36" s="83"/>
      <c r="C36" s="62"/>
      <c r="D36" s="62"/>
      <c r="E36" s="62"/>
      <c r="F36" s="72"/>
      <c r="G36" s="62"/>
      <c r="H36" s="72"/>
    </row>
    <row r="37" spans="1:8" ht="15.75" x14ac:dyDescent="0.25">
      <c r="A37" s="71" t="s">
        <v>94</v>
      </c>
      <c r="B37" s="79">
        <f t="shared" ref="B37:H37" si="2">B31/B34</f>
        <v>2.2355337078732838</v>
      </c>
      <c r="C37" s="76">
        <f t="shared" si="2"/>
        <v>1.6345944658471134</v>
      </c>
      <c r="D37" s="76">
        <f t="shared" si="2"/>
        <v>1.7119462850470948</v>
      </c>
      <c r="E37" s="76">
        <f t="shared" si="2"/>
        <v>1.7927570377682336</v>
      </c>
      <c r="F37" s="77">
        <f t="shared" si="2"/>
        <v>2.050320687979903</v>
      </c>
      <c r="G37" s="76" t="e">
        <f t="shared" si="2"/>
        <v>#DIV/0!</v>
      </c>
      <c r="H37" s="77" t="e">
        <f t="shared" si="2"/>
        <v>#DIV/0!</v>
      </c>
    </row>
    <row r="38" spans="1:8" ht="15.75" x14ac:dyDescent="0.25">
      <c r="A38" s="68"/>
      <c r="B38" s="83"/>
      <c r="C38" s="76"/>
      <c r="D38" s="76"/>
      <c r="E38" s="76"/>
      <c r="F38" s="77"/>
      <c r="G38" s="76"/>
      <c r="H38" s="77"/>
    </row>
    <row r="39" spans="1:8" ht="15.75" x14ac:dyDescent="0.25">
      <c r="A39" s="68"/>
      <c r="B39" s="83"/>
      <c r="C39" s="105"/>
      <c r="D39" s="76"/>
      <c r="E39" s="76"/>
      <c r="F39" s="77"/>
      <c r="G39" s="76"/>
      <c r="H39" s="77"/>
    </row>
    <row r="40" spans="1:8" ht="15.75" x14ac:dyDescent="0.25">
      <c r="A40" s="71" t="s">
        <v>95</v>
      </c>
      <c r="B40" s="79">
        <f>AVERAGE(B37:F37)</f>
        <v>1.8850304369031257</v>
      </c>
      <c r="C40" s="62"/>
      <c r="D40" s="62"/>
      <c r="E40" s="62"/>
      <c r="F40" s="72"/>
      <c r="G40" s="62"/>
      <c r="H40" s="72"/>
    </row>
    <row r="41" spans="1:8" ht="15.75" x14ac:dyDescent="0.25">
      <c r="A41" s="71"/>
      <c r="B41" s="79"/>
      <c r="C41" s="62"/>
      <c r="D41" s="62"/>
      <c r="E41" s="62"/>
      <c r="F41" s="72"/>
      <c r="G41" s="62"/>
      <c r="H41" s="72"/>
    </row>
    <row r="42" spans="1:8" ht="16.5" thickBot="1" x14ac:dyDescent="0.3">
      <c r="A42" s="70"/>
      <c r="B42" s="70"/>
      <c r="C42" s="64"/>
      <c r="D42" s="64"/>
      <c r="E42" s="64"/>
      <c r="F42" s="78"/>
      <c r="G42" s="64"/>
      <c r="H42" s="78"/>
    </row>
    <row r="43" spans="1:8" ht="15.75" x14ac:dyDescent="0.25">
      <c r="A43" s="63"/>
      <c r="B43" s="63"/>
      <c r="C43" s="63"/>
      <c r="D43" s="63"/>
      <c r="E43" s="63"/>
      <c r="F43" s="63"/>
      <c r="G43" s="63"/>
      <c r="H43" s="63"/>
    </row>
  </sheetData>
  <sheetProtection sheet="1" objects="1" scenarios="1" selectLockedCells="1" selectUnlockedCells="1"/>
  <mergeCells count="7">
    <mergeCell ref="B23:F23"/>
    <mergeCell ref="E22:F22"/>
    <mergeCell ref="B6:E6"/>
    <mergeCell ref="A1:F1"/>
    <mergeCell ref="A2:F2"/>
    <mergeCell ref="A4:F4"/>
    <mergeCell ref="A21:F2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topLeftCell="A10" workbookViewId="0">
      <selection activeCell="E13" sqref="E13"/>
    </sheetView>
  </sheetViews>
  <sheetFormatPr defaultRowHeight="15" x14ac:dyDescent="0.25"/>
  <cols>
    <col min="1" max="1" width="69.140625" customWidth="1"/>
    <col min="2" max="2" width="19.85546875" bestFit="1" customWidth="1"/>
  </cols>
  <sheetData>
    <row r="1" spans="1:2" ht="18.75" x14ac:dyDescent="0.3">
      <c r="A1" s="513" t="str">
        <f>+'Structural Ratios'!A1:H1</f>
        <v>M/s SMJ Interiors</v>
      </c>
      <c r="B1" s="513"/>
    </row>
    <row r="2" spans="1:2" ht="18.75" x14ac:dyDescent="0.3">
      <c r="A2" s="513" t="str">
        <f>+'Structural Ratios'!A2:H2</f>
        <v>(UPVC Window Making Plant)</v>
      </c>
      <c r="B2" s="513"/>
    </row>
    <row r="3" spans="1:2" ht="15.75" x14ac:dyDescent="0.25">
      <c r="A3" s="80"/>
      <c r="B3" s="240" t="s">
        <v>216</v>
      </c>
    </row>
    <row r="4" spans="1:2" ht="18.75" x14ac:dyDescent="0.3">
      <c r="A4" s="81" t="s">
        <v>96</v>
      </c>
      <c r="B4" s="81"/>
    </row>
    <row r="5" spans="1:2" ht="18.75" x14ac:dyDescent="0.3">
      <c r="A5" s="81"/>
      <c r="B5" s="81"/>
    </row>
    <row r="6" spans="1:2" ht="16.5" thickBot="1" x14ac:dyDescent="0.3">
      <c r="A6" s="85" t="s">
        <v>97</v>
      </c>
      <c r="B6" s="85"/>
    </row>
    <row r="7" spans="1:2" ht="16.5" thickBot="1" x14ac:dyDescent="0.3">
      <c r="A7" s="89" t="s">
        <v>61</v>
      </c>
      <c r="B7" s="98" t="s">
        <v>125</v>
      </c>
    </row>
    <row r="8" spans="1:2" ht="15.75" x14ac:dyDescent="0.25">
      <c r="A8" s="83"/>
      <c r="B8" s="82"/>
    </row>
    <row r="9" spans="1:2" ht="15.75" x14ac:dyDescent="0.25">
      <c r="A9" s="84" t="s">
        <v>98</v>
      </c>
      <c r="B9" s="82"/>
    </row>
    <row r="10" spans="1:2" ht="16.5" thickBot="1" x14ac:dyDescent="0.3">
      <c r="A10" s="74" t="s">
        <v>170</v>
      </c>
      <c r="B10" s="244">
        <f>+'P &amp; L'!D22+'P &amp; L'!D35-BEP!B18</f>
        <v>25.855900000000005</v>
      </c>
    </row>
    <row r="11" spans="1:2" ht="16.5" thickBot="1" x14ac:dyDescent="0.3">
      <c r="A11" s="90" t="s">
        <v>36</v>
      </c>
      <c r="B11" s="130">
        <f>SUM(B10:B10)</f>
        <v>25.855900000000005</v>
      </c>
    </row>
    <row r="12" spans="1:2" ht="15.75" x14ac:dyDescent="0.25">
      <c r="A12" s="83"/>
      <c r="B12" s="124"/>
    </row>
    <row r="13" spans="1:2" ht="15.75" x14ac:dyDescent="0.25">
      <c r="A13" s="84" t="s">
        <v>99</v>
      </c>
      <c r="B13" s="124"/>
    </row>
    <row r="14" spans="1:2" ht="15.75" x14ac:dyDescent="0.25">
      <c r="A14" s="74" t="s">
        <v>20</v>
      </c>
      <c r="B14" s="244">
        <f>+VLOOKUP(A14,'P &amp; L'!A20:D34,4,)</f>
        <v>0.1</v>
      </c>
    </row>
    <row r="15" spans="1:2" ht="15.75" x14ac:dyDescent="0.25">
      <c r="A15" s="74" t="s">
        <v>228</v>
      </c>
      <c r="B15" s="244">
        <f>+VLOOKUP(A15,'P &amp; L'!A28:D35,4,)</f>
        <v>1.2083622967813188</v>
      </c>
    </row>
    <row r="16" spans="1:2" ht="15.75" x14ac:dyDescent="0.25">
      <c r="A16" s="74" t="s">
        <v>38</v>
      </c>
      <c r="B16" s="244">
        <f>+VLOOKUP(A16,'P &amp; L'!A29:D36,4,)</f>
        <v>2.6306437500000004</v>
      </c>
    </row>
    <row r="17" spans="1:2" ht="16.5" thickBot="1" x14ac:dyDescent="0.3">
      <c r="A17" s="74" t="s">
        <v>126</v>
      </c>
      <c r="B17" s="244">
        <f>+VLOOKUP(A17,'P &amp; L'!A30:D37,4,)</f>
        <v>0.72600000000000009</v>
      </c>
    </row>
    <row r="18" spans="1:2" ht="16.5" thickBot="1" x14ac:dyDescent="0.3">
      <c r="A18" s="90" t="s">
        <v>39</v>
      </c>
      <c r="B18" s="130">
        <f>SUM(B14:B17)</f>
        <v>4.6650060467813192</v>
      </c>
    </row>
    <row r="19" spans="1:2" ht="15.75" x14ac:dyDescent="0.25">
      <c r="A19" s="83"/>
      <c r="B19" s="124"/>
    </row>
    <row r="20" spans="1:2" ht="15.75" x14ac:dyDescent="0.25">
      <c r="A20" s="84" t="s">
        <v>100</v>
      </c>
      <c r="B20" s="124">
        <f>'P &amp; L'!D15</f>
        <v>36.565000000000005</v>
      </c>
    </row>
    <row r="21" spans="1:2" ht="15.75" x14ac:dyDescent="0.25">
      <c r="A21" s="84" t="s">
        <v>101</v>
      </c>
      <c r="B21" s="124">
        <f>B20-B11</f>
        <v>10.709099999999999</v>
      </c>
    </row>
    <row r="22" spans="1:2" ht="15.75" x14ac:dyDescent="0.25">
      <c r="A22" s="84" t="s">
        <v>102</v>
      </c>
      <c r="B22" s="96">
        <f>B18/B21</f>
        <v>0.43561140028399392</v>
      </c>
    </row>
    <row r="23" spans="1:2" ht="15.75" x14ac:dyDescent="0.25">
      <c r="A23" s="91" t="s">
        <v>103</v>
      </c>
      <c r="B23" s="82"/>
    </row>
    <row r="24" spans="1:2" ht="15.75" thickBot="1" x14ac:dyDescent="0.3">
      <c r="A24" s="92"/>
      <c r="B24" s="97"/>
    </row>
    <row r="26" spans="1:2" ht="15.75" x14ac:dyDescent="0.25">
      <c r="A26" s="80"/>
      <c r="B26" s="239" t="s">
        <v>217</v>
      </c>
    </row>
    <row r="27" spans="1:2" ht="19.5" thickBot="1" x14ac:dyDescent="0.35">
      <c r="A27" s="81" t="s">
        <v>104</v>
      </c>
      <c r="B27" s="81"/>
    </row>
    <row r="28" spans="1:2" ht="19.5" thickBot="1" x14ac:dyDescent="0.35">
      <c r="A28" s="86" t="s">
        <v>2</v>
      </c>
      <c r="B28" s="98" t="s">
        <v>125</v>
      </c>
    </row>
    <row r="29" spans="1:2" ht="18.75" x14ac:dyDescent="0.3">
      <c r="A29" s="87" t="s">
        <v>105</v>
      </c>
      <c r="B29" s="157">
        <f>AVERAGE('P &amp; L'!B39:H39)</f>
        <v>7.8251505490271791</v>
      </c>
    </row>
    <row r="30" spans="1:2" ht="18.75" x14ac:dyDescent="0.3">
      <c r="A30" s="87" t="s">
        <v>106</v>
      </c>
      <c r="B30" s="158">
        <f>AVERAGE('P &amp; L'!B32:H32)</f>
        <v>2.379731379742188</v>
      </c>
    </row>
    <row r="31" spans="1:2" ht="18.75" x14ac:dyDescent="0.3">
      <c r="A31" s="93" t="s">
        <v>107</v>
      </c>
      <c r="B31" s="159">
        <f>B29+B30</f>
        <v>10.204881928769368</v>
      </c>
    </row>
    <row r="32" spans="1:2" ht="18.75" x14ac:dyDescent="0.3">
      <c r="A32" s="87"/>
      <c r="B32" s="160"/>
    </row>
    <row r="33" spans="1:2" ht="18.75" x14ac:dyDescent="0.3">
      <c r="A33" s="87" t="s">
        <v>186</v>
      </c>
      <c r="B33" s="157">
        <v>29</v>
      </c>
    </row>
    <row r="34" spans="1:2" ht="18.75" x14ac:dyDescent="0.3">
      <c r="A34" s="87"/>
      <c r="B34" s="3"/>
    </row>
    <row r="35" spans="1:2" ht="18.75" x14ac:dyDescent="0.3">
      <c r="A35" s="87" t="s">
        <v>108</v>
      </c>
      <c r="B35" s="118">
        <f>B33/B31</f>
        <v>2.8417771222069574</v>
      </c>
    </row>
    <row r="36" spans="1:2" ht="18.75" x14ac:dyDescent="0.3">
      <c r="A36" s="94" t="s">
        <v>109</v>
      </c>
      <c r="B36" s="119"/>
    </row>
    <row r="37" spans="1:2" ht="18.75" x14ac:dyDescent="0.3">
      <c r="A37" s="99" t="s">
        <v>110</v>
      </c>
      <c r="B37" s="525" t="s">
        <v>298</v>
      </c>
    </row>
    <row r="38" spans="1:2" ht="20.25" customHeight="1" x14ac:dyDescent="0.25">
      <c r="A38" s="95"/>
      <c r="B38" s="525"/>
    </row>
    <row r="39" spans="1:2" ht="18.75" x14ac:dyDescent="0.3">
      <c r="A39" s="87"/>
      <c r="B39" s="119"/>
    </row>
    <row r="40" spans="1:2" ht="37.5" x14ac:dyDescent="0.3">
      <c r="A40" s="260" t="s">
        <v>185</v>
      </c>
      <c r="B40" s="120"/>
    </row>
    <row r="41" spans="1:2" ht="19.5" thickBot="1" x14ac:dyDescent="0.35">
      <c r="A41" s="88"/>
      <c r="B41" s="121"/>
    </row>
  </sheetData>
  <sheetProtection sheet="1" objects="1" scenarios="1" selectLockedCells="1" selectUnlockedCells="1"/>
  <mergeCells count="3">
    <mergeCell ref="B37:B38"/>
    <mergeCell ref="A1:B1"/>
    <mergeCell ref="A2:B2"/>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9"/>
  <sheetViews>
    <sheetView tabSelected="1" topLeftCell="A2" zoomScaleNormal="100" workbookViewId="0">
      <selection activeCell="E13" sqref="E13"/>
    </sheetView>
  </sheetViews>
  <sheetFormatPr defaultColWidth="8.85546875" defaultRowHeight="15" x14ac:dyDescent="0.25"/>
  <cols>
    <col min="1" max="1" width="6.42578125" style="186" customWidth="1"/>
    <col min="2" max="2" width="7.7109375" style="186" customWidth="1"/>
    <col min="3" max="3" width="14.5703125" style="186" customWidth="1"/>
    <col min="4" max="4" width="11.42578125" style="186" customWidth="1"/>
    <col min="5" max="5" width="12.85546875" style="186" customWidth="1"/>
    <col min="6" max="6" width="16.85546875" style="186" customWidth="1"/>
    <col min="7" max="7" width="9.42578125" style="186" customWidth="1"/>
    <col min="8" max="8" width="27.85546875" style="186" customWidth="1"/>
    <col min="9" max="9" width="13.140625" style="186" customWidth="1"/>
    <col min="10" max="10" width="10.5703125" style="186" bestFit="1" customWidth="1"/>
    <col min="11" max="16384" width="8.85546875" style="186"/>
  </cols>
  <sheetData>
    <row r="1" spans="1:10" x14ac:dyDescent="0.25">
      <c r="A1" s="201" t="s">
        <v>134</v>
      </c>
    </row>
    <row r="2" spans="1:10" x14ac:dyDescent="0.25">
      <c r="A2" s="336" t="s">
        <v>254</v>
      </c>
    </row>
    <row r="3" spans="1:10" x14ac:dyDescent="0.25">
      <c r="A3" s="201" t="s">
        <v>242</v>
      </c>
    </row>
    <row r="4" spans="1:10" x14ac:dyDescent="0.25">
      <c r="A4" s="337">
        <v>1</v>
      </c>
      <c r="B4" s="201" t="s">
        <v>243</v>
      </c>
      <c r="G4" s="338"/>
    </row>
    <row r="5" spans="1:10" x14ac:dyDescent="0.25">
      <c r="A5" s="337"/>
      <c r="B5" s="339"/>
      <c r="C5" s="340"/>
      <c r="D5" s="340"/>
      <c r="E5" s="340"/>
      <c r="F5" s="376"/>
      <c r="G5" s="372"/>
      <c r="H5" s="185"/>
      <c r="I5" s="185"/>
    </row>
    <row r="6" spans="1:10" x14ac:dyDescent="0.25">
      <c r="A6" s="337"/>
      <c r="B6" s="209" t="s">
        <v>257</v>
      </c>
      <c r="C6" s="185"/>
      <c r="D6" s="185"/>
      <c r="E6" s="185"/>
      <c r="F6" s="326"/>
      <c r="G6" s="373"/>
      <c r="H6" s="185"/>
      <c r="I6" s="185"/>
    </row>
    <row r="7" spans="1:10" x14ac:dyDescent="0.25">
      <c r="A7" s="337"/>
      <c r="B7" s="209" t="s">
        <v>260</v>
      </c>
      <c r="C7" s="185"/>
      <c r="D7" s="185"/>
      <c r="E7" s="185"/>
      <c r="F7" s="326"/>
      <c r="G7" s="373"/>
      <c r="H7" s="185"/>
      <c r="I7" s="185"/>
    </row>
    <row r="8" spans="1:10" x14ac:dyDescent="0.25">
      <c r="A8" s="337"/>
      <c r="B8" s="209" t="s">
        <v>258</v>
      </c>
      <c r="C8" s="185"/>
      <c r="D8" s="185"/>
      <c r="E8" s="185"/>
      <c r="F8" s="326"/>
      <c r="G8" s="374"/>
      <c r="H8" s="185"/>
      <c r="I8" s="185"/>
    </row>
    <row r="9" spans="1:10" x14ac:dyDescent="0.25">
      <c r="A9" s="337"/>
      <c r="B9" s="209" t="s">
        <v>259</v>
      </c>
      <c r="C9" s="185"/>
      <c r="D9" s="185"/>
      <c r="E9" s="185"/>
      <c r="F9" s="326"/>
      <c r="G9" s="375"/>
      <c r="H9" s="185"/>
      <c r="I9" s="185"/>
    </row>
    <row r="10" spans="1:10" x14ac:dyDescent="0.25">
      <c r="A10" s="337"/>
      <c r="B10" s="209"/>
      <c r="C10" s="185"/>
      <c r="D10" s="185"/>
      <c r="E10" s="185"/>
      <c r="F10" s="326"/>
      <c r="G10" s="375"/>
      <c r="H10" s="185"/>
      <c r="I10" s="195"/>
    </row>
    <row r="11" spans="1:10" x14ac:dyDescent="0.25">
      <c r="A11" s="337"/>
      <c r="B11" s="532" t="s">
        <v>272</v>
      </c>
      <c r="C11" s="533"/>
      <c r="D11" s="533"/>
      <c r="E11" s="533"/>
      <c r="F11" s="533"/>
      <c r="G11" s="534"/>
      <c r="H11" s="185"/>
      <c r="I11" s="185"/>
    </row>
    <row r="12" spans="1:10" x14ac:dyDescent="0.25">
      <c r="A12" s="337"/>
      <c r="B12" s="187"/>
      <c r="C12" s="341"/>
      <c r="D12" s="185"/>
      <c r="E12" s="185"/>
      <c r="F12" s="185"/>
      <c r="G12" s="326"/>
      <c r="H12" s="195"/>
      <c r="I12" s="185"/>
      <c r="J12" s="185"/>
    </row>
    <row r="13" spans="1:10" x14ac:dyDescent="0.25">
      <c r="A13" s="337">
        <v>2</v>
      </c>
      <c r="B13" s="247" t="s">
        <v>244</v>
      </c>
      <c r="C13" s="341"/>
      <c r="D13" s="185"/>
      <c r="E13" s="185"/>
      <c r="F13" s="185"/>
      <c r="G13" s="326"/>
      <c r="H13" s="195"/>
      <c r="I13" s="185"/>
      <c r="J13" s="185"/>
    </row>
    <row r="14" spans="1:10" x14ac:dyDescent="0.25">
      <c r="A14" s="337"/>
      <c r="B14" s="535" t="s">
        <v>263</v>
      </c>
      <c r="C14" s="536"/>
      <c r="D14" s="536"/>
      <c r="E14" s="536"/>
      <c r="F14" s="536"/>
      <c r="G14" s="536"/>
      <c r="H14" s="537"/>
      <c r="I14" s="185"/>
      <c r="J14" s="185"/>
    </row>
    <row r="15" spans="1:10" x14ac:dyDescent="0.25">
      <c r="A15" s="337"/>
      <c r="B15" s="538"/>
      <c r="C15" s="539"/>
      <c r="D15" s="539"/>
      <c r="E15" s="539"/>
      <c r="F15" s="539"/>
      <c r="G15" s="539"/>
      <c r="H15" s="540"/>
      <c r="I15" s="185"/>
      <c r="J15" s="185"/>
    </row>
    <row r="16" spans="1:10" x14ac:dyDescent="0.25">
      <c r="A16" s="337"/>
      <c r="B16" s="187"/>
      <c r="C16" s="341"/>
      <c r="D16" s="185"/>
      <c r="E16" s="185"/>
      <c r="F16" s="185"/>
      <c r="G16" s="326"/>
      <c r="H16" s="195"/>
      <c r="I16" s="185"/>
      <c r="J16" s="185"/>
    </row>
    <row r="17" spans="1:20" x14ac:dyDescent="0.25">
      <c r="A17" s="337">
        <v>3</v>
      </c>
      <c r="B17" s="247" t="s">
        <v>291</v>
      </c>
      <c r="C17" s="185"/>
      <c r="D17" s="187"/>
      <c r="E17" s="187"/>
      <c r="F17" s="342"/>
      <c r="G17" s="343"/>
    </row>
    <row r="18" spans="1:20" x14ac:dyDescent="0.25">
      <c r="A18" s="344"/>
      <c r="B18" s="345" t="s">
        <v>245</v>
      </c>
      <c r="C18" s="231" t="s">
        <v>246</v>
      </c>
      <c r="D18" s="346"/>
      <c r="E18" s="347" t="s">
        <v>247</v>
      </c>
      <c r="F18" s="348" t="s">
        <v>248</v>
      </c>
      <c r="G18" s="541" t="s">
        <v>248</v>
      </c>
      <c r="H18" s="542"/>
      <c r="I18" s="185"/>
      <c r="J18" s="185"/>
    </row>
    <row r="19" spans="1:20" x14ac:dyDescent="0.25">
      <c r="A19" s="344"/>
      <c r="B19" s="349"/>
      <c r="C19" s="350"/>
      <c r="D19" s="351"/>
      <c r="E19" s="352" t="s">
        <v>249</v>
      </c>
      <c r="F19" s="353" t="s">
        <v>250</v>
      </c>
      <c r="G19" s="543" t="s">
        <v>251</v>
      </c>
      <c r="H19" s="544"/>
      <c r="I19" s="185"/>
      <c r="J19" s="185"/>
    </row>
    <row r="20" spans="1:20" x14ac:dyDescent="0.25">
      <c r="A20" s="344"/>
      <c r="B20" s="347">
        <v>1</v>
      </c>
      <c r="C20" s="340" t="s">
        <v>261</v>
      </c>
      <c r="D20" s="354"/>
      <c r="E20" s="347">
        <v>2</v>
      </c>
      <c r="F20" s="355">
        <v>8000</v>
      </c>
      <c r="G20" s="545">
        <f>F20*E20*12</f>
        <v>192000</v>
      </c>
      <c r="H20" s="546"/>
      <c r="I20" s="185"/>
      <c r="J20" s="185"/>
      <c r="T20" s="356"/>
    </row>
    <row r="21" spans="1:20" x14ac:dyDescent="0.25">
      <c r="A21" s="344"/>
      <c r="B21" s="357">
        <v>2</v>
      </c>
      <c r="C21" s="185" t="s">
        <v>262</v>
      </c>
      <c r="D21" s="187"/>
      <c r="E21" s="357">
        <v>1</v>
      </c>
      <c r="F21" s="211">
        <v>5000</v>
      </c>
      <c r="G21" s="526">
        <f>F21*E21*12</f>
        <v>60000</v>
      </c>
      <c r="H21" s="527"/>
      <c r="I21" s="185"/>
      <c r="J21" s="185"/>
      <c r="T21" s="356"/>
    </row>
    <row r="22" spans="1:20" x14ac:dyDescent="0.25">
      <c r="A22" s="344"/>
      <c r="B22" s="358"/>
      <c r="C22" s="359" t="s">
        <v>48</v>
      </c>
      <c r="D22" s="360"/>
      <c r="E22" s="361">
        <f>SUM(E20:E21)</f>
        <v>3</v>
      </c>
      <c r="F22" s="362"/>
      <c r="G22" s="528">
        <f>SUM(G20:G21)</f>
        <v>252000</v>
      </c>
      <c r="H22" s="529"/>
      <c r="I22" s="185"/>
      <c r="J22" s="185"/>
    </row>
    <row r="23" spans="1:20" s="185" customFormat="1" x14ac:dyDescent="0.25">
      <c r="A23" s="363"/>
      <c r="B23" s="197" t="s">
        <v>252</v>
      </c>
      <c r="D23" s="187"/>
      <c r="E23" s="187"/>
      <c r="F23" s="341"/>
      <c r="G23" s="187"/>
    </row>
    <row r="24" spans="1:20" s="185" customFormat="1" x14ac:dyDescent="0.25">
      <c r="A24" s="363"/>
      <c r="B24" s="197"/>
      <c r="D24" s="187"/>
      <c r="E24" s="187"/>
      <c r="F24" s="341"/>
      <c r="G24" s="187"/>
    </row>
    <row r="25" spans="1:20" x14ac:dyDescent="0.25">
      <c r="A25" s="337">
        <v>4</v>
      </c>
      <c r="B25" s="247" t="s">
        <v>264</v>
      </c>
      <c r="C25" s="185"/>
      <c r="D25" s="187"/>
      <c r="E25" s="187"/>
      <c r="F25" s="342"/>
      <c r="G25" s="343"/>
    </row>
    <row r="26" spans="1:20" x14ac:dyDescent="0.25">
      <c r="A26" s="344"/>
      <c r="B26" s="231" t="s">
        <v>295</v>
      </c>
      <c r="C26" s="340"/>
      <c r="D26" s="340"/>
      <c r="E26" s="354"/>
      <c r="F26" s="364"/>
      <c r="G26" s="340"/>
      <c r="H26" s="365"/>
    </row>
    <row r="27" spans="1:20" x14ac:dyDescent="0.25">
      <c r="A27" s="344"/>
      <c r="B27" s="350"/>
      <c r="C27" s="366"/>
      <c r="D27" s="366"/>
      <c r="E27" s="367"/>
      <c r="F27" s="368"/>
      <c r="G27" s="366"/>
      <c r="H27" s="369"/>
    </row>
    <row r="28" spans="1:20" x14ac:dyDescent="0.25">
      <c r="A28" s="344"/>
      <c r="B28" s="185"/>
      <c r="C28" s="185"/>
      <c r="D28" s="185"/>
      <c r="E28" s="187"/>
      <c r="F28" s="370"/>
      <c r="G28" s="185"/>
      <c r="H28" s="185"/>
    </row>
    <row r="29" spans="1:20" x14ac:dyDescent="0.25">
      <c r="A29" s="337">
        <v>5</v>
      </c>
      <c r="B29" s="184" t="s">
        <v>253</v>
      </c>
      <c r="C29" s="185"/>
      <c r="D29" s="185"/>
      <c r="E29" s="187"/>
      <c r="F29" s="370"/>
      <c r="G29" s="185"/>
      <c r="H29" s="185"/>
    </row>
    <row r="30" spans="1:20" x14ac:dyDescent="0.25">
      <c r="A30" s="344"/>
      <c r="B30" s="378" t="s">
        <v>265</v>
      </c>
      <c r="C30" s="359"/>
      <c r="D30" s="359"/>
      <c r="E30" s="360"/>
      <c r="F30" s="379"/>
      <c r="G30" s="359"/>
      <c r="H30" s="380"/>
    </row>
    <row r="31" spans="1:20" x14ac:dyDescent="0.25">
      <c r="A31" s="344"/>
      <c r="B31" s="185"/>
      <c r="C31" s="185"/>
      <c r="D31" s="185"/>
      <c r="E31" s="187"/>
      <c r="F31" s="370"/>
      <c r="G31" s="185"/>
      <c r="H31" s="185"/>
    </row>
    <row r="32" spans="1:20" x14ac:dyDescent="0.25">
      <c r="A32" s="337">
        <v>6</v>
      </c>
      <c r="B32" s="201" t="s">
        <v>266</v>
      </c>
      <c r="E32" s="343"/>
      <c r="F32" s="371"/>
    </row>
    <row r="33" spans="1:8" x14ac:dyDescent="0.25">
      <c r="A33" s="344"/>
      <c r="B33" s="231" t="s">
        <v>267</v>
      </c>
      <c r="C33" s="340"/>
      <c r="D33" s="340"/>
      <c r="E33" s="354"/>
      <c r="F33" s="364"/>
      <c r="G33" s="340"/>
      <c r="H33" s="365"/>
    </row>
    <row r="34" spans="1:8" x14ac:dyDescent="0.25">
      <c r="A34" s="337"/>
      <c r="B34" s="350"/>
      <c r="C34" s="366"/>
      <c r="D34" s="366"/>
      <c r="E34" s="366"/>
      <c r="F34" s="366"/>
      <c r="G34" s="366"/>
      <c r="H34" s="369"/>
    </row>
    <row r="35" spans="1:8" x14ac:dyDescent="0.25">
      <c r="A35" s="337"/>
      <c r="B35" s="185"/>
      <c r="C35" s="185"/>
      <c r="D35" s="185"/>
      <c r="E35" s="185"/>
      <c r="F35" s="185"/>
      <c r="G35" s="185"/>
      <c r="H35" s="185"/>
    </row>
    <row r="36" spans="1:8" x14ac:dyDescent="0.25">
      <c r="A36" s="337">
        <v>7</v>
      </c>
      <c r="B36" s="201" t="s">
        <v>127</v>
      </c>
    </row>
    <row r="37" spans="1:8" x14ac:dyDescent="0.25">
      <c r="A37" s="343"/>
      <c r="B37" s="231" t="s">
        <v>268</v>
      </c>
      <c r="C37" s="340"/>
      <c r="D37" s="340"/>
      <c r="E37" s="340"/>
      <c r="F37" s="340"/>
      <c r="G37" s="340"/>
      <c r="H37" s="365"/>
    </row>
    <row r="38" spans="1:8" x14ac:dyDescent="0.25">
      <c r="A38" s="343"/>
      <c r="B38" s="350" t="s">
        <v>269</v>
      </c>
      <c r="C38" s="366"/>
      <c r="D38" s="366"/>
      <c r="E38" s="366"/>
      <c r="F38" s="366"/>
      <c r="G38" s="366"/>
      <c r="H38" s="369"/>
    </row>
    <row r="39" spans="1:8" x14ac:dyDescent="0.25">
      <c r="A39" s="343"/>
    </row>
    <row r="40" spans="1:8" ht="29.25" customHeight="1" x14ac:dyDescent="0.25">
      <c r="A40" s="327">
        <v>8</v>
      </c>
      <c r="B40" s="530" t="s">
        <v>270</v>
      </c>
      <c r="C40" s="530"/>
      <c r="D40" s="530"/>
      <c r="E40" s="530"/>
      <c r="F40" s="530"/>
      <c r="G40" s="530"/>
      <c r="H40" s="530"/>
    </row>
    <row r="41" spans="1:8" x14ac:dyDescent="0.25">
      <c r="A41" s="327"/>
      <c r="B41" s="381"/>
      <c r="C41" s="201"/>
      <c r="D41" s="201"/>
      <c r="E41" s="201"/>
      <c r="F41" s="201"/>
      <c r="G41" s="201"/>
      <c r="H41" s="201"/>
    </row>
    <row r="42" spans="1:8" ht="31.5" customHeight="1" x14ac:dyDescent="0.25">
      <c r="A42" s="327">
        <v>9</v>
      </c>
      <c r="B42" s="531" t="s">
        <v>271</v>
      </c>
      <c r="C42" s="531"/>
      <c r="D42" s="531"/>
      <c r="E42" s="531"/>
      <c r="F42" s="531"/>
      <c r="G42" s="531"/>
      <c r="H42" s="531"/>
    </row>
    <row r="43" spans="1:8" x14ac:dyDescent="0.25">
      <c r="A43" s="343"/>
    </row>
    <row r="44" spans="1:8" x14ac:dyDescent="0.25">
      <c r="A44" s="343">
        <v>10</v>
      </c>
      <c r="B44" s="201" t="s">
        <v>296</v>
      </c>
    </row>
    <row r="45" spans="1:8" x14ac:dyDescent="0.25">
      <c r="A45" s="343"/>
    </row>
    <row r="46" spans="1:8" x14ac:dyDescent="0.25">
      <c r="A46" s="343"/>
    </row>
    <row r="47" spans="1:8" x14ac:dyDescent="0.25">
      <c r="A47" s="343"/>
    </row>
    <row r="48" spans="1:8" x14ac:dyDescent="0.25">
      <c r="A48" s="343"/>
    </row>
    <row r="49" spans="1:1" x14ac:dyDescent="0.25">
      <c r="A49" s="343"/>
    </row>
  </sheetData>
  <sheetProtection sheet="1" objects="1" scenarios="1" selectLockedCells="1" selectUnlockedCells="1"/>
  <mergeCells count="9">
    <mergeCell ref="G21:H21"/>
    <mergeCell ref="G22:H22"/>
    <mergeCell ref="B40:H40"/>
    <mergeCell ref="B42:H42"/>
    <mergeCell ref="B11:G11"/>
    <mergeCell ref="B14:H15"/>
    <mergeCell ref="G18:H18"/>
    <mergeCell ref="G19:H19"/>
    <mergeCell ref="G20:H20"/>
  </mergeCells>
  <pageMargins left="0.67" right="0.54" top="0.75" bottom="0.59" header="0.12" footer="0.59"/>
  <pageSetup scale="88" orientation="portrait" horizontalDpi="4294967293" r:id="rId1"/>
  <headerFooter alignWithMargins="0">
    <oddFooter>&amp;CPage 11 of 11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6"/>
  <sheetViews>
    <sheetView workbookViewId="0">
      <selection activeCell="E13" sqref="E13"/>
    </sheetView>
  </sheetViews>
  <sheetFormatPr defaultRowHeight="12.75" x14ac:dyDescent="0.2"/>
  <cols>
    <col min="1" max="1" width="8.140625" style="265" customWidth="1"/>
    <col min="2" max="2" width="72.5703125" style="265" customWidth="1"/>
    <col min="3" max="3" width="13.140625" style="265" customWidth="1"/>
    <col min="4" max="256" width="9.140625" style="265"/>
    <col min="257" max="257" width="8.140625" style="265" customWidth="1"/>
    <col min="258" max="258" width="72.5703125" style="265" customWidth="1"/>
    <col min="259" max="259" width="13.140625" style="265" customWidth="1"/>
    <col min="260" max="512" width="9.140625" style="265"/>
    <col min="513" max="513" width="8.140625" style="265" customWidth="1"/>
    <col min="514" max="514" width="72.5703125" style="265" customWidth="1"/>
    <col min="515" max="515" width="13.140625" style="265" customWidth="1"/>
    <col min="516" max="768" width="9.140625" style="265"/>
    <col min="769" max="769" width="8.140625" style="265" customWidth="1"/>
    <col min="770" max="770" width="72.5703125" style="265" customWidth="1"/>
    <col min="771" max="771" width="13.140625" style="265" customWidth="1"/>
    <col min="772" max="1024" width="9.140625" style="265"/>
    <col min="1025" max="1025" width="8.140625" style="265" customWidth="1"/>
    <col min="1026" max="1026" width="72.5703125" style="265" customWidth="1"/>
    <col min="1027" max="1027" width="13.140625" style="265" customWidth="1"/>
    <col min="1028" max="1280" width="9.140625" style="265"/>
    <col min="1281" max="1281" width="8.140625" style="265" customWidth="1"/>
    <col min="1282" max="1282" width="72.5703125" style="265" customWidth="1"/>
    <col min="1283" max="1283" width="13.140625" style="265" customWidth="1"/>
    <col min="1284" max="1536" width="9.140625" style="265"/>
    <col min="1537" max="1537" width="8.140625" style="265" customWidth="1"/>
    <col min="1538" max="1538" width="72.5703125" style="265" customWidth="1"/>
    <col min="1539" max="1539" width="13.140625" style="265" customWidth="1"/>
    <col min="1540" max="1792" width="9.140625" style="265"/>
    <col min="1793" max="1793" width="8.140625" style="265" customWidth="1"/>
    <col min="1794" max="1794" width="72.5703125" style="265" customWidth="1"/>
    <col min="1795" max="1795" width="13.140625" style="265" customWidth="1"/>
    <col min="1796" max="2048" width="9.140625" style="265"/>
    <col min="2049" max="2049" width="8.140625" style="265" customWidth="1"/>
    <col min="2050" max="2050" width="72.5703125" style="265" customWidth="1"/>
    <col min="2051" max="2051" width="13.140625" style="265" customWidth="1"/>
    <col min="2052" max="2304" width="9.140625" style="265"/>
    <col min="2305" max="2305" width="8.140625" style="265" customWidth="1"/>
    <col min="2306" max="2306" width="72.5703125" style="265" customWidth="1"/>
    <col min="2307" max="2307" width="13.140625" style="265" customWidth="1"/>
    <col min="2308" max="2560" width="9.140625" style="265"/>
    <col min="2561" max="2561" width="8.140625" style="265" customWidth="1"/>
    <col min="2562" max="2562" width="72.5703125" style="265" customWidth="1"/>
    <col min="2563" max="2563" width="13.140625" style="265" customWidth="1"/>
    <col min="2564" max="2816" width="9.140625" style="265"/>
    <col min="2817" max="2817" width="8.140625" style="265" customWidth="1"/>
    <col min="2818" max="2818" width="72.5703125" style="265" customWidth="1"/>
    <col min="2819" max="2819" width="13.140625" style="265" customWidth="1"/>
    <col min="2820" max="3072" width="9.140625" style="265"/>
    <col min="3073" max="3073" width="8.140625" style="265" customWidth="1"/>
    <col min="3074" max="3074" width="72.5703125" style="265" customWidth="1"/>
    <col min="3075" max="3075" width="13.140625" style="265" customWidth="1"/>
    <col min="3076" max="3328" width="9.140625" style="265"/>
    <col min="3329" max="3329" width="8.140625" style="265" customWidth="1"/>
    <col min="3330" max="3330" width="72.5703125" style="265" customWidth="1"/>
    <col min="3331" max="3331" width="13.140625" style="265" customWidth="1"/>
    <col min="3332" max="3584" width="9.140625" style="265"/>
    <col min="3585" max="3585" width="8.140625" style="265" customWidth="1"/>
    <col min="3586" max="3586" width="72.5703125" style="265" customWidth="1"/>
    <col min="3587" max="3587" width="13.140625" style="265" customWidth="1"/>
    <col min="3588" max="3840" width="9.140625" style="265"/>
    <col min="3841" max="3841" width="8.140625" style="265" customWidth="1"/>
    <col min="3842" max="3842" width="72.5703125" style="265" customWidth="1"/>
    <col min="3843" max="3843" width="13.140625" style="265" customWidth="1"/>
    <col min="3844" max="4096" width="9.140625" style="265"/>
    <col min="4097" max="4097" width="8.140625" style="265" customWidth="1"/>
    <col min="4098" max="4098" width="72.5703125" style="265" customWidth="1"/>
    <col min="4099" max="4099" width="13.140625" style="265" customWidth="1"/>
    <col min="4100" max="4352" width="9.140625" style="265"/>
    <col min="4353" max="4353" width="8.140625" style="265" customWidth="1"/>
    <col min="4354" max="4354" width="72.5703125" style="265" customWidth="1"/>
    <col min="4355" max="4355" width="13.140625" style="265" customWidth="1"/>
    <col min="4356" max="4608" width="9.140625" style="265"/>
    <col min="4609" max="4609" width="8.140625" style="265" customWidth="1"/>
    <col min="4610" max="4610" width="72.5703125" style="265" customWidth="1"/>
    <col min="4611" max="4611" width="13.140625" style="265" customWidth="1"/>
    <col min="4612" max="4864" width="9.140625" style="265"/>
    <col min="4865" max="4865" width="8.140625" style="265" customWidth="1"/>
    <col min="4866" max="4866" width="72.5703125" style="265" customWidth="1"/>
    <col min="4867" max="4867" width="13.140625" style="265" customWidth="1"/>
    <col min="4868" max="5120" width="9.140625" style="265"/>
    <col min="5121" max="5121" width="8.140625" style="265" customWidth="1"/>
    <col min="5122" max="5122" width="72.5703125" style="265" customWidth="1"/>
    <col min="5123" max="5123" width="13.140625" style="265" customWidth="1"/>
    <col min="5124" max="5376" width="9.140625" style="265"/>
    <col min="5377" max="5377" width="8.140625" style="265" customWidth="1"/>
    <col min="5378" max="5378" width="72.5703125" style="265" customWidth="1"/>
    <col min="5379" max="5379" width="13.140625" style="265" customWidth="1"/>
    <col min="5380" max="5632" width="9.140625" style="265"/>
    <col min="5633" max="5633" width="8.140625" style="265" customWidth="1"/>
    <col min="5634" max="5634" width="72.5703125" style="265" customWidth="1"/>
    <col min="5635" max="5635" width="13.140625" style="265" customWidth="1"/>
    <col min="5636" max="5888" width="9.140625" style="265"/>
    <col min="5889" max="5889" width="8.140625" style="265" customWidth="1"/>
    <col min="5890" max="5890" width="72.5703125" style="265" customWidth="1"/>
    <col min="5891" max="5891" width="13.140625" style="265" customWidth="1"/>
    <col min="5892" max="6144" width="9.140625" style="265"/>
    <col min="6145" max="6145" width="8.140625" style="265" customWidth="1"/>
    <col min="6146" max="6146" width="72.5703125" style="265" customWidth="1"/>
    <col min="6147" max="6147" width="13.140625" style="265" customWidth="1"/>
    <col min="6148" max="6400" width="9.140625" style="265"/>
    <col min="6401" max="6401" width="8.140625" style="265" customWidth="1"/>
    <col min="6402" max="6402" width="72.5703125" style="265" customWidth="1"/>
    <col min="6403" max="6403" width="13.140625" style="265" customWidth="1"/>
    <col min="6404" max="6656" width="9.140625" style="265"/>
    <col min="6657" max="6657" width="8.140625" style="265" customWidth="1"/>
    <col min="6658" max="6658" width="72.5703125" style="265" customWidth="1"/>
    <col min="6659" max="6659" width="13.140625" style="265" customWidth="1"/>
    <col min="6660" max="6912" width="9.140625" style="265"/>
    <col min="6913" max="6913" width="8.140625" style="265" customWidth="1"/>
    <col min="6914" max="6914" width="72.5703125" style="265" customWidth="1"/>
    <col min="6915" max="6915" width="13.140625" style="265" customWidth="1"/>
    <col min="6916" max="7168" width="9.140625" style="265"/>
    <col min="7169" max="7169" width="8.140625" style="265" customWidth="1"/>
    <col min="7170" max="7170" width="72.5703125" style="265" customWidth="1"/>
    <col min="7171" max="7171" width="13.140625" style="265" customWidth="1"/>
    <col min="7172" max="7424" width="9.140625" style="265"/>
    <col min="7425" max="7425" width="8.140625" style="265" customWidth="1"/>
    <col min="7426" max="7426" width="72.5703125" style="265" customWidth="1"/>
    <col min="7427" max="7427" width="13.140625" style="265" customWidth="1"/>
    <col min="7428" max="7680" width="9.140625" style="265"/>
    <col min="7681" max="7681" width="8.140625" style="265" customWidth="1"/>
    <col min="7682" max="7682" width="72.5703125" style="265" customWidth="1"/>
    <col min="7683" max="7683" width="13.140625" style="265" customWidth="1"/>
    <col min="7684" max="7936" width="9.140625" style="265"/>
    <col min="7937" max="7937" width="8.140625" style="265" customWidth="1"/>
    <col min="7938" max="7938" width="72.5703125" style="265" customWidth="1"/>
    <col min="7939" max="7939" width="13.140625" style="265" customWidth="1"/>
    <col min="7940" max="8192" width="9.140625" style="265"/>
    <col min="8193" max="8193" width="8.140625" style="265" customWidth="1"/>
    <col min="8194" max="8194" width="72.5703125" style="265" customWidth="1"/>
    <col min="8195" max="8195" width="13.140625" style="265" customWidth="1"/>
    <col min="8196" max="8448" width="9.140625" style="265"/>
    <col min="8449" max="8449" width="8.140625" style="265" customWidth="1"/>
    <col min="8450" max="8450" width="72.5703125" style="265" customWidth="1"/>
    <col min="8451" max="8451" width="13.140625" style="265" customWidth="1"/>
    <col min="8452" max="8704" width="9.140625" style="265"/>
    <col min="8705" max="8705" width="8.140625" style="265" customWidth="1"/>
    <col min="8706" max="8706" width="72.5703125" style="265" customWidth="1"/>
    <col min="8707" max="8707" width="13.140625" style="265" customWidth="1"/>
    <col min="8708" max="8960" width="9.140625" style="265"/>
    <col min="8961" max="8961" width="8.140625" style="265" customWidth="1"/>
    <col min="8962" max="8962" width="72.5703125" style="265" customWidth="1"/>
    <col min="8963" max="8963" width="13.140625" style="265" customWidth="1"/>
    <col min="8964" max="9216" width="9.140625" style="265"/>
    <col min="9217" max="9217" width="8.140625" style="265" customWidth="1"/>
    <col min="9218" max="9218" width="72.5703125" style="265" customWidth="1"/>
    <col min="9219" max="9219" width="13.140625" style="265" customWidth="1"/>
    <col min="9220" max="9472" width="9.140625" style="265"/>
    <col min="9473" max="9473" width="8.140625" style="265" customWidth="1"/>
    <col min="9474" max="9474" width="72.5703125" style="265" customWidth="1"/>
    <col min="9475" max="9475" width="13.140625" style="265" customWidth="1"/>
    <col min="9476" max="9728" width="9.140625" style="265"/>
    <col min="9729" max="9729" width="8.140625" style="265" customWidth="1"/>
    <col min="9730" max="9730" width="72.5703125" style="265" customWidth="1"/>
    <col min="9731" max="9731" width="13.140625" style="265" customWidth="1"/>
    <col min="9732" max="9984" width="9.140625" style="265"/>
    <col min="9985" max="9985" width="8.140625" style="265" customWidth="1"/>
    <col min="9986" max="9986" width="72.5703125" style="265" customWidth="1"/>
    <col min="9987" max="9987" width="13.140625" style="265" customWidth="1"/>
    <col min="9988" max="10240" width="9.140625" style="265"/>
    <col min="10241" max="10241" width="8.140625" style="265" customWidth="1"/>
    <col min="10242" max="10242" width="72.5703125" style="265" customWidth="1"/>
    <col min="10243" max="10243" width="13.140625" style="265" customWidth="1"/>
    <col min="10244" max="10496" width="9.140625" style="265"/>
    <col min="10497" max="10497" width="8.140625" style="265" customWidth="1"/>
    <col min="10498" max="10498" width="72.5703125" style="265" customWidth="1"/>
    <col min="10499" max="10499" width="13.140625" style="265" customWidth="1"/>
    <col min="10500" max="10752" width="9.140625" style="265"/>
    <col min="10753" max="10753" width="8.140625" style="265" customWidth="1"/>
    <col min="10754" max="10754" width="72.5703125" style="265" customWidth="1"/>
    <col min="10755" max="10755" width="13.140625" style="265" customWidth="1"/>
    <col min="10756" max="11008" width="9.140625" style="265"/>
    <col min="11009" max="11009" width="8.140625" style="265" customWidth="1"/>
    <col min="11010" max="11010" width="72.5703125" style="265" customWidth="1"/>
    <col min="11011" max="11011" width="13.140625" style="265" customWidth="1"/>
    <col min="11012" max="11264" width="9.140625" style="265"/>
    <col min="11265" max="11265" width="8.140625" style="265" customWidth="1"/>
    <col min="11266" max="11266" width="72.5703125" style="265" customWidth="1"/>
    <col min="11267" max="11267" width="13.140625" style="265" customWidth="1"/>
    <col min="11268" max="11520" width="9.140625" style="265"/>
    <col min="11521" max="11521" width="8.140625" style="265" customWidth="1"/>
    <col min="11522" max="11522" width="72.5703125" style="265" customWidth="1"/>
    <col min="11523" max="11523" width="13.140625" style="265" customWidth="1"/>
    <col min="11524" max="11776" width="9.140625" style="265"/>
    <col min="11777" max="11777" width="8.140625" style="265" customWidth="1"/>
    <col min="11778" max="11778" width="72.5703125" style="265" customWidth="1"/>
    <col min="11779" max="11779" width="13.140625" style="265" customWidth="1"/>
    <col min="11780" max="12032" width="9.140625" style="265"/>
    <col min="12033" max="12033" width="8.140625" style="265" customWidth="1"/>
    <col min="12034" max="12034" width="72.5703125" style="265" customWidth="1"/>
    <col min="12035" max="12035" width="13.140625" style="265" customWidth="1"/>
    <col min="12036" max="12288" width="9.140625" style="265"/>
    <col min="12289" max="12289" width="8.140625" style="265" customWidth="1"/>
    <col min="12290" max="12290" width="72.5703125" style="265" customWidth="1"/>
    <col min="12291" max="12291" width="13.140625" style="265" customWidth="1"/>
    <col min="12292" max="12544" width="9.140625" style="265"/>
    <col min="12545" max="12545" width="8.140625" style="265" customWidth="1"/>
    <col min="12546" max="12546" width="72.5703125" style="265" customWidth="1"/>
    <col min="12547" max="12547" width="13.140625" style="265" customWidth="1"/>
    <col min="12548" max="12800" width="9.140625" style="265"/>
    <col min="12801" max="12801" width="8.140625" style="265" customWidth="1"/>
    <col min="12802" max="12802" width="72.5703125" style="265" customWidth="1"/>
    <col min="12803" max="12803" width="13.140625" style="265" customWidth="1"/>
    <col min="12804" max="13056" width="9.140625" style="265"/>
    <col min="13057" max="13057" width="8.140625" style="265" customWidth="1"/>
    <col min="13058" max="13058" width="72.5703125" style="265" customWidth="1"/>
    <col min="13059" max="13059" width="13.140625" style="265" customWidth="1"/>
    <col min="13060" max="13312" width="9.140625" style="265"/>
    <col min="13313" max="13313" width="8.140625" style="265" customWidth="1"/>
    <col min="13314" max="13314" width="72.5703125" style="265" customWidth="1"/>
    <col min="13315" max="13315" width="13.140625" style="265" customWidth="1"/>
    <col min="13316" max="13568" width="9.140625" style="265"/>
    <col min="13569" max="13569" width="8.140625" style="265" customWidth="1"/>
    <col min="13570" max="13570" width="72.5703125" style="265" customWidth="1"/>
    <col min="13571" max="13571" width="13.140625" style="265" customWidth="1"/>
    <col min="13572" max="13824" width="9.140625" style="265"/>
    <col min="13825" max="13825" width="8.140625" style="265" customWidth="1"/>
    <col min="13826" max="13826" width="72.5703125" style="265" customWidth="1"/>
    <col min="13827" max="13827" width="13.140625" style="265" customWidth="1"/>
    <col min="13828" max="14080" width="9.140625" style="265"/>
    <col min="14081" max="14081" width="8.140625" style="265" customWidth="1"/>
    <col min="14082" max="14082" width="72.5703125" style="265" customWidth="1"/>
    <col min="14083" max="14083" width="13.140625" style="265" customWidth="1"/>
    <col min="14084" max="14336" width="9.140625" style="265"/>
    <col min="14337" max="14337" width="8.140625" style="265" customWidth="1"/>
    <col min="14338" max="14338" width="72.5703125" style="265" customWidth="1"/>
    <col min="14339" max="14339" width="13.140625" style="265" customWidth="1"/>
    <col min="14340" max="14592" width="9.140625" style="265"/>
    <col min="14593" max="14593" width="8.140625" style="265" customWidth="1"/>
    <col min="14594" max="14594" width="72.5703125" style="265" customWidth="1"/>
    <col min="14595" max="14595" width="13.140625" style="265" customWidth="1"/>
    <col min="14596" max="14848" width="9.140625" style="265"/>
    <col min="14849" max="14849" width="8.140625" style="265" customWidth="1"/>
    <col min="14850" max="14850" width="72.5703125" style="265" customWidth="1"/>
    <col min="14851" max="14851" width="13.140625" style="265" customWidth="1"/>
    <col min="14852" max="15104" width="9.140625" style="265"/>
    <col min="15105" max="15105" width="8.140625" style="265" customWidth="1"/>
    <col min="15106" max="15106" width="72.5703125" style="265" customWidth="1"/>
    <col min="15107" max="15107" width="13.140625" style="265" customWidth="1"/>
    <col min="15108" max="15360" width="9.140625" style="265"/>
    <col min="15361" max="15361" width="8.140625" style="265" customWidth="1"/>
    <col min="15362" max="15362" width="72.5703125" style="265" customWidth="1"/>
    <col min="15363" max="15363" width="13.140625" style="265" customWidth="1"/>
    <col min="15364" max="15616" width="9.140625" style="265"/>
    <col min="15617" max="15617" width="8.140625" style="265" customWidth="1"/>
    <col min="15618" max="15618" width="72.5703125" style="265" customWidth="1"/>
    <col min="15619" max="15619" width="13.140625" style="265" customWidth="1"/>
    <col min="15620" max="15872" width="9.140625" style="265"/>
    <col min="15873" max="15873" width="8.140625" style="265" customWidth="1"/>
    <col min="15874" max="15874" width="72.5703125" style="265" customWidth="1"/>
    <col min="15875" max="15875" width="13.140625" style="265" customWidth="1"/>
    <col min="15876" max="16128" width="9.140625" style="265"/>
    <col min="16129" max="16129" width="8.140625" style="265" customWidth="1"/>
    <col min="16130" max="16130" width="72.5703125" style="265" customWidth="1"/>
    <col min="16131" max="16131" width="13.140625" style="265" customWidth="1"/>
    <col min="16132" max="16384" width="9.140625" style="265"/>
  </cols>
  <sheetData>
    <row r="1" spans="1:3" ht="18.75" x14ac:dyDescent="0.3">
      <c r="B1" s="266" t="str">
        <f>+'Cover Page'!A3</f>
        <v>M/s SMJ Interiors</v>
      </c>
    </row>
    <row r="2" spans="1:3" x14ac:dyDescent="0.2">
      <c r="B2" s="267"/>
    </row>
    <row r="3" spans="1:3" x14ac:dyDescent="0.2">
      <c r="B3" s="267" t="s">
        <v>199</v>
      </c>
    </row>
    <row r="4" spans="1:3" x14ac:dyDescent="0.2">
      <c r="B4" s="268"/>
      <c r="C4" s="268"/>
    </row>
    <row r="5" spans="1:3" x14ac:dyDescent="0.2">
      <c r="A5" s="268"/>
      <c r="B5" s="268"/>
      <c r="C5" s="268"/>
    </row>
    <row r="6" spans="1:3" ht="14.25" x14ac:dyDescent="0.2">
      <c r="A6" s="493" t="s">
        <v>200</v>
      </c>
      <c r="B6" s="493"/>
      <c r="C6" s="493"/>
    </row>
    <row r="7" spans="1:3" ht="14.25" x14ac:dyDescent="0.2">
      <c r="A7" s="269" t="s">
        <v>201</v>
      </c>
      <c r="B7" s="268"/>
      <c r="C7" s="270" t="s">
        <v>225</v>
      </c>
    </row>
    <row r="8" spans="1:3" ht="14.25" x14ac:dyDescent="0.2">
      <c r="A8" s="269"/>
      <c r="B8" s="268"/>
      <c r="C8" s="268"/>
    </row>
    <row r="9" spans="1:3" x14ac:dyDescent="0.2">
      <c r="A9" s="268"/>
      <c r="B9" s="270" t="s">
        <v>226</v>
      </c>
      <c r="C9" s="270" t="s">
        <v>204</v>
      </c>
    </row>
    <row r="10" spans="1:3" x14ac:dyDescent="0.2">
      <c r="A10" s="268"/>
      <c r="B10" s="270"/>
      <c r="C10" s="270"/>
    </row>
    <row r="11" spans="1:3" x14ac:dyDescent="0.2">
      <c r="A11" s="268"/>
      <c r="B11" s="270"/>
    </row>
    <row r="12" spans="1:3" x14ac:dyDescent="0.2">
      <c r="A12" s="268"/>
      <c r="B12" s="270" t="s">
        <v>202</v>
      </c>
      <c r="C12" s="270" t="s">
        <v>205</v>
      </c>
    </row>
    <row r="13" spans="1:3" x14ac:dyDescent="0.2">
      <c r="A13" s="268"/>
      <c r="B13" s="270"/>
      <c r="C13" s="270"/>
    </row>
    <row r="14" spans="1:3" x14ac:dyDescent="0.2">
      <c r="A14" s="268"/>
      <c r="B14" s="270"/>
      <c r="C14" s="270"/>
    </row>
    <row r="15" spans="1:3" x14ac:dyDescent="0.2">
      <c r="A15" s="268"/>
      <c r="B15" s="270" t="s">
        <v>275</v>
      </c>
      <c r="C15" s="270" t="s">
        <v>276</v>
      </c>
    </row>
    <row r="16" spans="1:3" x14ac:dyDescent="0.2">
      <c r="A16" s="268"/>
      <c r="B16" s="270"/>
      <c r="C16" s="271"/>
    </row>
    <row r="17" spans="1:3" ht="14.25" x14ac:dyDescent="0.2">
      <c r="A17" s="269" t="s">
        <v>203</v>
      </c>
      <c r="B17" s="268"/>
      <c r="C17" s="268"/>
    </row>
    <row r="18" spans="1:3" x14ac:dyDescent="0.2">
      <c r="A18" s="268"/>
      <c r="B18" s="268"/>
      <c r="C18" s="268"/>
    </row>
    <row r="19" spans="1:3" x14ac:dyDescent="0.2">
      <c r="A19" s="270"/>
      <c r="B19" s="270" t="str">
        <f>+Cost!A6</f>
        <v>COST OF THE PROJECT AND MEANS OF FINANCE:</v>
      </c>
      <c r="C19" s="270" t="s">
        <v>4</v>
      </c>
    </row>
    <row r="20" spans="1:3" x14ac:dyDescent="0.2">
      <c r="A20" s="270"/>
      <c r="B20" s="270"/>
      <c r="C20" s="270"/>
    </row>
    <row r="21" spans="1:3" x14ac:dyDescent="0.2">
      <c r="A21" s="270"/>
      <c r="B21" s="270"/>
      <c r="C21" s="270"/>
    </row>
    <row r="22" spans="1:3" x14ac:dyDescent="0.2">
      <c r="A22" s="270"/>
      <c r="B22" s="270" t="str">
        <f>+'Repayment Schedule'!A4</f>
        <v>TERM LOAN REPAYMENT SCHEDULE</v>
      </c>
      <c r="C22" s="270" t="s">
        <v>5</v>
      </c>
    </row>
    <row r="23" spans="1:3" x14ac:dyDescent="0.2">
      <c r="A23" s="270"/>
      <c r="B23" s="270"/>
      <c r="C23" s="270"/>
    </row>
    <row r="24" spans="1:3" x14ac:dyDescent="0.2">
      <c r="A24" s="270"/>
      <c r="B24" s="270"/>
      <c r="C24" s="270"/>
    </row>
    <row r="25" spans="1:3" x14ac:dyDescent="0.2">
      <c r="A25" s="270"/>
      <c r="B25" s="270" t="str">
        <f>+'P &amp; L'!A5</f>
        <v>PROJECTED TRADING &amp; PROFIT &amp; LOSS ACCOUNT</v>
      </c>
      <c r="C25" s="270" t="s">
        <v>6</v>
      </c>
    </row>
    <row r="26" spans="1:3" x14ac:dyDescent="0.2">
      <c r="A26" s="270"/>
      <c r="B26" s="270"/>
      <c r="C26" s="270"/>
    </row>
    <row r="27" spans="1:3" x14ac:dyDescent="0.2">
      <c r="A27" s="270"/>
      <c r="B27" s="270"/>
      <c r="C27" s="270"/>
    </row>
    <row r="28" spans="1:3" x14ac:dyDescent="0.2">
      <c r="A28" s="270"/>
      <c r="B28" s="270" t="str">
        <f>+BS!A4</f>
        <v>PROJECTED BALANCE SHEET</v>
      </c>
      <c r="C28" s="270" t="s">
        <v>7</v>
      </c>
    </row>
    <row r="29" spans="1:3" x14ac:dyDescent="0.2">
      <c r="A29" s="270"/>
      <c r="B29" s="270"/>
      <c r="C29" s="270"/>
    </row>
    <row r="30" spans="1:3" x14ac:dyDescent="0.2">
      <c r="A30" s="270"/>
      <c r="B30" s="270"/>
      <c r="C30" s="270"/>
    </row>
    <row r="31" spans="1:3" x14ac:dyDescent="0.2">
      <c r="A31" s="270"/>
      <c r="B31" s="270" t="str">
        <f>+'Cash Flow Statement'!A5</f>
        <v>PROJECTED CASH FLOW STATEMENT</v>
      </c>
      <c r="C31" s="270" t="s">
        <v>8</v>
      </c>
    </row>
    <row r="32" spans="1:3" x14ac:dyDescent="0.2">
      <c r="A32" s="270"/>
      <c r="B32" s="270"/>
      <c r="C32" s="270"/>
    </row>
    <row r="33" spans="1:3" x14ac:dyDescent="0.2">
      <c r="A33" s="270"/>
      <c r="B33" s="270"/>
      <c r="C33" s="270"/>
    </row>
    <row r="34" spans="1:3" x14ac:dyDescent="0.2">
      <c r="A34" s="270"/>
      <c r="B34" s="270" t="str">
        <f>+'Cap &amp; Tax'!A4</f>
        <v>CAPITAL ACCOUNT</v>
      </c>
      <c r="C34" s="272" t="s">
        <v>9</v>
      </c>
    </row>
    <row r="35" spans="1:3" x14ac:dyDescent="0.2">
      <c r="A35" s="270"/>
      <c r="B35" s="270"/>
      <c r="C35" s="270"/>
    </row>
    <row r="36" spans="1:3" x14ac:dyDescent="0.2">
      <c r="A36" s="270"/>
      <c r="B36" s="270"/>
      <c r="C36" s="270"/>
    </row>
    <row r="37" spans="1:3" x14ac:dyDescent="0.2">
      <c r="A37" s="272"/>
      <c r="B37" s="272" t="str">
        <f>+'Cap &amp; Tax'!A22</f>
        <v>CALCULATION OF TAX LIABILITY</v>
      </c>
      <c r="C37" s="270" t="s">
        <v>10</v>
      </c>
    </row>
    <row r="38" spans="1:3" x14ac:dyDescent="0.2">
      <c r="A38" s="270"/>
      <c r="B38" s="270"/>
      <c r="C38" s="270"/>
    </row>
    <row r="39" spans="1:3" x14ac:dyDescent="0.2">
      <c r="A39" s="270"/>
      <c r="B39" s="270"/>
      <c r="C39" s="270"/>
    </row>
    <row r="40" spans="1:3" x14ac:dyDescent="0.2">
      <c r="A40" s="270"/>
      <c r="B40" s="270" t="str">
        <f>+Dep!A4</f>
        <v>DEPRECIATION CHART AS PER INCOME TAX ACT 1961</v>
      </c>
      <c r="C40" s="270" t="s">
        <v>221</v>
      </c>
    </row>
    <row r="41" spans="1:3" x14ac:dyDescent="0.2">
      <c r="A41" s="270"/>
      <c r="B41" s="270"/>
      <c r="C41" s="270"/>
    </row>
    <row r="42" spans="1:3" x14ac:dyDescent="0.2">
      <c r="A42" s="270"/>
      <c r="B42" s="270"/>
      <c r="C42" s="270"/>
    </row>
    <row r="43" spans="1:3" x14ac:dyDescent="0.2">
      <c r="A43" s="270"/>
      <c r="B43" s="270" t="str">
        <f>+'Structural Ratios'!A4</f>
        <v>STRUCTURAL RATIOS</v>
      </c>
      <c r="C43" s="270" t="s">
        <v>215</v>
      </c>
    </row>
    <row r="44" spans="1:3" x14ac:dyDescent="0.2">
      <c r="A44" s="270"/>
      <c r="B44" s="270"/>
      <c r="C44" s="271"/>
    </row>
    <row r="45" spans="1:3" x14ac:dyDescent="0.2">
      <c r="A45" s="270"/>
      <c r="B45" s="270"/>
      <c r="C45" s="271"/>
    </row>
    <row r="46" spans="1:3" x14ac:dyDescent="0.2">
      <c r="A46" s="270"/>
      <c r="B46" s="270" t="str">
        <f>+'Structural Ratios'!A21</f>
        <v>DEBT SERVICE COVERAGE RATIO (DSCR)</v>
      </c>
      <c r="C46" s="270" t="s">
        <v>222</v>
      </c>
    </row>
    <row r="47" spans="1:3" x14ac:dyDescent="0.2">
      <c r="A47" s="271"/>
      <c r="B47" s="270"/>
      <c r="C47" s="270"/>
    </row>
    <row r="48" spans="1:3" x14ac:dyDescent="0.2">
      <c r="A48" s="268"/>
      <c r="B48" s="268"/>
      <c r="C48" s="268"/>
    </row>
    <row r="49" spans="1:3" x14ac:dyDescent="0.2">
      <c r="A49" s="270"/>
      <c r="B49" s="270" t="str">
        <f>+BEP!A4</f>
        <v>BREAK EVEN ANALYSIS</v>
      </c>
      <c r="C49" s="270" t="s">
        <v>223</v>
      </c>
    </row>
    <row r="50" spans="1:3" x14ac:dyDescent="0.2">
      <c r="A50" s="270"/>
      <c r="B50" s="270"/>
      <c r="C50" s="270"/>
    </row>
    <row r="52" spans="1:3" x14ac:dyDescent="0.2">
      <c r="A52" s="270"/>
      <c r="B52" s="273" t="str">
        <f>+BEP!A27</f>
        <v>PAY BACK PERIOD</v>
      </c>
      <c r="C52" s="273" t="s">
        <v>224</v>
      </c>
    </row>
    <row r="55" spans="1:3" x14ac:dyDescent="0.2">
      <c r="B55" s="273" t="s">
        <v>255</v>
      </c>
      <c r="C55" s="273" t="s">
        <v>256</v>
      </c>
    </row>
    <row r="56" spans="1:3" x14ac:dyDescent="0.2">
      <c r="B56" s="273"/>
      <c r="C56" s="273"/>
    </row>
  </sheetData>
  <sheetProtection sheet="1" objects="1" scenarios="1" selectLockedCells="1" selectUnlockedCells="1"/>
  <mergeCells count="1">
    <mergeCell ref="A6:C6"/>
  </mergeCells>
  <pageMargins left="0.7" right="0.7" top="0.75" bottom="0.75" header="0.3" footer="0.3"/>
  <pageSetup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4"/>
  <sheetViews>
    <sheetView topLeftCell="A4" zoomScaleNormal="100" workbookViewId="0">
      <selection activeCell="E13" sqref="E13"/>
    </sheetView>
  </sheetViews>
  <sheetFormatPr defaultColWidth="19.7109375" defaultRowHeight="15" x14ac:dyDescent="0.25"/>
  <cols>
    <col min="1" max="1" width="11.42578125" style="186" customWidth="1"/>
    <col min="2" max="2" width="24.42578125" style="186" customWidth="1"/>
    <col min="3" max="3" width="5.42578125" style="186" customWidth="1"/>
    <col min="4" max="4" width="11.7109375" style="186" customWidth="1"/>
    <col min="5" max="5" width="12" style="186" customWidth="1"/>
    <col min="6" max="6" width="12.42578125" style="186" customWidth="1"/>
    <col min="7" max="7" width="16.42578125" style="186" customWidth="1"/>
    <col min="8" max="8" width="19.7109375" style="186" customWidth="1"/>
    <col min="9" max="9" width="9" style="186" customWidth="1"/>
    <col min="10" max="10" width="19.7109375" style="186" customWidth="1"/>
    <col min="11" max="11" width="11.42578125" style="186" customWidth="1"/>
    <col min="12" max="12" width="19.7109375" style="186" customWidth="1"/>
    <col min="13" max="13" width="6" style="186" customWidth="1"/>
    <col min="14" max="16384" width="19.7109375" style="186"/>
  </cols>
  <sheetData>
    <row r="1" spans="1:13" x14ac:dyDescent="0.25">
      <c r="A1" s="494" t="str">
        <f>+'Cover Page'!A3</f>
        <v>M/s SMJ Interiors</v>
      </c>
      <c r="B1" s="494"/>
      <c r="C1" s="494"/>
      <c r="D1" s="494"/>
      <c r="E1" s="494"/>
      <c r="F1" s="494"/>
      <c r="G1" s="185"/>
      <c r="H1" s="185"/>
      <c r="I1" s="185"/>
      <c r="J1" s="185"/>
      <c r="K1" s="185"/>
      <c r="L1" s="185"/>
      <c r="M1" s="185"/>
    </row>
    <row r="2" spans="1:13" x14ac:dyDescent="0.25">
      <c r="A2" s="494" t="str">
        <f>+'Cover Page'!A4</f>
        <v>(UPVC Window Making Plant)</v>
      </c>
      <c r="B2" s="494"/>
      <c r="C2" s="494"/>
      <c r="D2" s="494"/>
      <c r="E2" s="494"/>
      <c r="F2" s="494"/>
      <c r="G2" s="185"/>
      <c r="H2" s="185"/>
      <c r="I2" s="185"/>
      <c r="J2" s="185"/>
      <c r="K2" s="185"/>
      <c r="L2" s="185"/>
      <c r="M2" s="185"/>
    </row>
    <row r="3" spans="1:13" x14ac:dyDescent="0.25">
      <c r="A3" s="184"/>
      <c r="B3" s="185"/>
      <c r="C3" s="185"/>
      <c r="D3" s="185"/>
      <c r="E3" s="185"/>
      <c r="F3" s="185"/>
      <c r="G3" s="185"/>
      <c r="H3" s="185"/>
      <c r="I3" s="185"/>
      <c r="J3" s="185"/>
      <c r="K3" s="185"/>
      <c r="L3" s="185"/>
      <c r="M3" s="185"/>
    </row>
    <row r="4" spans="1:13" x14ac:dyDescent="0.25">
      <c r="A4" s="184"/>
      <c r="B4" s="185"/>
      <c r="C4" s="185"/>
      <c r="D4" s="185"/>
      <c r="E4" s="185"/>
      <c r="F4" s="184" t="s">
        <v>206</v>
      </c>
      <c r="G4" s="185"/>
      <c r="H4" s="185"/>
      <c r="I4" s="185"/>
      <c r="J4" s="185"/>
      <c r="K4" s="185"/>
      <c r="L4" s="185"/>
      <c r="M4" s="185"/>
    </row>
    <row r="5" spans="1:13" x14ac:dyDescent="0.25">
      <c r="A5" s="184" t="s">
        <v>144</v>
      </c>
      <c r="B5" s="185"/>
      <c r="C5" s="185"/>
      <c r="D5" s="185"/>
      <c r="E5" s="185"/>
      <c r="F5" s="185"/>
      <c r="G5" s="185"/>
      <c r="H5" s="185"/>
      <c r="I5" s="185"/>
      <c r="J5" s="185"/>
      <c r="K5" s="185"/>
      <c r="L5" s="185"/>
      <c r="M5" s="185"/>
    </row>
    <row r="6" spans="1:13" x14ac:dyDescent="0.25">
      <c r="A6" s="184"/>
      <c r="B6" s="185"/>
      <c r="C6" s="185"/>
      <c r="D6" s="185"/>
      <c r="E6" s="185"/>
      <c r="F6" s="185"/>
      <c r="G6" s="185"/>
      <c r="H6" s="185"/>
      <c r="I6" s="185"/>
      <c r="J6" s="185"/>
      <c r="K6" s="185"/>
      <c r="L6" s="185"/>
      <c r="M6" s="185"/>
    </row>
    <row r="7" spans="1:13" x14ac:dyDescent="0.25">
      <c r="A7" s="187">
        <v>1</v>
      </c>
      <c r="B7" s="185" t="s">
        <v>145</v>
      </c>
      <c r="C7" s="188" t="s">
        <v>23</v>
      </c>
      <c r="D7" s="184" t="s">
        <v>134</v>
      </c>
      <c r="E7" s="185"/>
      <c r="F7" s="185"/>
      <c r="G7" s="185"/>
      <c r="H7" s="185"/>
      <c r="I7" s="185"/>
      <c r="J7" s="185"/>
      <c r="K7" s="185"/>
      <c r="L7" s="185"/>
      <c r="M7" s="185"/>
    </row>
    <row r="8" spans="1:13" ht="48" customHeight="1" x14ac:dyDescent="0.25">
      <c r="A8" s="187">
        <v>2</v>
      </c>
      <c r="B8" s="185" t="s">
        <v>135</v>
      </c>
      <c r="C8" s="188" t="s">
        <v>23</v>
      </c>
      <c r="D8" s="495" t="s">
        <v>174</v>
      </c>
      <c r="E8" s="495"/>
      <c r="F8" s="495"/>
      <c r="G8" s="185"/>
      <c r="H8" s="185"/>
      <c r="I8" s="185"/>
      <c r="J8" s="185"/>
      <c r="K8" s="185"/>
      <c r="L8" s="185"/>
      <c r="M8" s="185"/>
    </row>
    <row r="9" spans="1:13" x14ac:dyDescent="0.25">
      <c r="A9" s="187"/>
      <c r="B9" s="185"/>
      <c r="C9" s="188"/>
      <c r="D9" s="189"/>
      <c r="E9" s="185"/>
      <c r="F9" s="185"/>
      <c r="G9" s="185"/>
      <c r="H9" s="185"/>
      <c r="I9" s="185"/>
      <c r="J9" s="185"/>
      <c r="K9" s="185"/>
      <c r="L9" s="185"/>
      <c r="M9" s="185"/>
    </row>
    <row r="10" spans="1:13" x14ac:dyDescent="0.25">
      <c r="A10" s="187">
        <v>3</v>
      </c>
      <c r="B10" s="185" t="s">
        <v>146</v>
      </c>
      <c r="C10" s="188" t="s">
        <v>23</v>
      </c>
      <c r="D10" s="185" t="s">
        <v>147</v>
      </c>
      <c r="E10" s="185"/>
      <c r="F10" s="185"/>
      <c r="G10" s="185"/>
      <c r="H10" s="185"/>
      <c r="I10" s="185"/>
      <c r="J10" s="185"/>
      <c r="K10" s="185"/>
      <c r="L10" s="185"/>
      <c r="M10" s="185"/>
    </row>
    <row r="11" spans="1:13" x14ac:dyDescent="0.25">
      <c r="A11" s="187"/>
      <c r="B11" s="185"/>
      <c r="C11" s="188"/>
      <c r="D11" s="185"/>
      <c r="E11" s="185"/>
      <c r="F11" s="185"/>
      <c r="G11" s="185"/>
      <c r="H11" s="185"/>
      <c r="I11" s="185"/>
      <c r="J11" s="185"/>
      <c r="K11" s="185"/>
      <c r="L11" s="185"/>
      <c r="M11" s="185"/>
    </row>
    <row r="12" spans="1:13" x14ac:dyDescent="0.25">
      <c r="A12" s="187">
        <v>4</v>
      </c>
      <c r="B12" s="185" t="s">
        <v>148</v>
      </c>
      <c r="C12" s="188" t="s">
        <v>23</v>
      </c>
      <c r="D12" s="185" t="s">
        <v>149</v>
      </c>
      <c r="E12" s="185"/>
      <c r="F12" s="185"/>
      <c r="G12" s="185"/>
      <c r="H12" s="185"/>
      <c r="I12" s="185"/>
      <c r="J12" s="185"/>
      <c r="K12" s="185"/>
      <c r="L12" s="185"/>
      <c r="M12" s="185"/>
    </row>
    <row r="13" spans="1:13" x14ac:dyDescent="0.25">
      <c r="A13" s="187"/>
      <c r="B13" s="185" t="s">
        <v>150</v>
      </c>
      <c r="C13" s="188" t="s">
        <v>23</v>
      </c>
      <c r="D13" s="185" t="s">
        <v>151</v>
      </c>
      <c r="F13" s="185"/>
      <c r="G13" s="185"/>
      <c r="H13" s="185"/>
      <c r="I13" s="185"/>
      <c r="J13" s="185"/>
      <c r="K13" s="185"/>
      <c r="L13" s="185"/>
      <c r="M13" s="185"/>
    </row>
    <row r="14" spans="1:13" x14ac:dyDescent="0.25">
      <c r="A14" s="187"/>
      <c r="B14" s="185"/>
      <c r="C14" s="185"/>
      <c r="D14" s="187"/>
      <c r="F14" s="185"/>
      <c r="G14" s="185"/>
      <c r="H14" s="185"/>
      <c r="I14" s="185"/>
      <c r="J14" s="185"/>
      <c r="K14" s="185"/>
      <c r="L14" s="185"/>
      <c r="M14" s="185"/>
    </row>
    <row r="15" spans="1:13" x14ac:dyDescent="0.25">
      <c r="A15" s="187">
        <v>5</v>
      </c>
      <c r="B15" s="185" t="s">
        <v>173</v>
      </c>
      <c r="C15" s="205" t="s">
        <v>23</v>
      </c>
      <c r="D15" s="187">
        <v>9575399192</v>
      </c>
      <c r="F15" s="185"/>
      <c r="G15" s="185"/>
      <c r="H15" s="185"/>
      <c r="I15" s="185"/>
      <c r="J15" s="185"/>
      <c r="K15" s="185"/>
      <c r="L15" s="185"/>
      <c r="M15" s="185"/>
    </row>
    <row r="16" spans="1:13" x14ac:dyDescent="0.25">
      <c r="A16" s="187"/>
      <c r="B16" s="185"/>
      <c r="C16" s="185"/>
      <c r="D16" s="187"/>
      <c r="F16" s="185"/>
      <c r="G16" s="185"/>
      <c r="H16" s="185"/>
      <c r="I16" s="185"/>
      <c r="J16" s="185"/>
      <c r="K16" s="185"/>
      <c r="L16" s="185"/>
      <c r="M16" s="185"/>
    </row>
    <row r="17" spans="1:13" x14ac:dyDescent="0.25">
      <c r="A17" s="187">
        <v>6</v>
      </c>
      <c r="B17" s="193" t="s">
        <v>153</v>
      </c>
      <c r="C17" s="191" t="s">
        <v>23</v>
      </c>
      <c r="D17" s="263" t="str">
        <f>+Cost!C8</f>
        <v>34 Lakhs</v>
      </c>
      <c r="E17" s="194"/>
      <c r="F17" s="192"/>
      <c r="G17" s="185"/>
      <c r="H17" s="185"/>
      <c r="I17" s="185"/>
      <c r="J17" s="185"/>
      <c r="K17" s="185"/>
      <c r="L17" s="185"/>
      <c r="M17" s="185"/>
    </row>
    <row r="18" spans="1:13" x14ac:dyDescent="0.25">
      <c r="A18" s="187"/>
      <c r="B18" s="192"/>
      <c r="C18" s="192"/>
      <c r="D18" s="194"/>
      <c r="E18" s="194"/>
      <c r="F18" s="192"/>
      <c r="G18" s="185"/>
      <c r="H18" s="185"/>
      <c r="I18" s="185"/>
      <c r="J18" s="185"/>
      <c r="K18" s="185"/>
      <c r="L18" s="185"/>
      <c r="M18" s="185"/>
    </row>
    <row r="19" spans="1:13" x14ac:dyDescent="0.25">
      <c r="A19" s="187">
        <v>7</v>
      </c>
      <c r="B19" s="192" t="s">
        <v>154</v>
      </c>
      <c r="C19" s="192" t="s">
        <v>23</v>
      </c>
      <c r="D19" s="382" t="s">
        <v>155</v>
      </c>
      <c r="E19" s="382"/>
      <c r="F19" s="382"/>
      <c r="G19" s="195"/>
      <c r="H19" s="185"/>
      <c r="I19" s="185"/>
      <c r="J19" s="185"/>
      <c r="K19" s="185"/>
      <c r="L19" s="185"/>
      <c r="M19" s="185"/>
    </row>
    <row r="20" spans="1:13" x14ac:dyDescent="0.25">
      <c r="A20" s="187"/>
      <c r="B20" s="192"/>
      <c r="C20" s="192"/>
      <c r="D20" s="192"/>
      <c r="E20" s="194"/>
      <c r="F20" s="192"/>
      <c r="G20" s="195"/>
      <c r="H20" s="185"/>
      <c r="I20" s="185"/>
      <c r="J20" s="185"/>
      <c r="K20" s="185"/>
      <c r="L20" s="185"/>
      <c r="M20" s="185"/>
    </row>
    <row r="21" spans="1:13" x14ac:dyDescent="0.25">
      <c r="A21" s="187">
        <v>8</v>
      </c>
      <c r="B21" s="185" t="s">
        <v>303</v>
      </c>
      <c r="C21" s="383" t="s">
        <v>23</v>
      </c>
      <c r="D21" s="246">
        <f>+'Structural Ratios'!F9</f>
        <v>1.742333591281354</v>
      </c>
      <c r="E21" s="195"/>
      <c r="F21" s="197"/>
      <c r="G21" s="195"/>
      <c r="H21" s="185"/>
      <c r="I21" s="196"/>
      <c r="K21" s="185"/>
      <c r="L21" s="185"/>
      <c r="M21" s="185"/>
    </row>
    <row r="22" spans="1:13" x14ac:dyDescent="0.25">
      <c r="A22" s="187"/>
      <c r="B22" s="185"/>
      <c r="C22" s="383"/>
      <c r="D22" s="247"/>
      <c r="E22" s="195"/>
      <c r="F22" s="197"/>
      <c r="G22" s="185"/>
      <c r="H22" s="185"/>
      <c r="I22" s="185"/>
      <c r="J22" s="185"/>
      <c r="K22" s="185"/>
      <c r="L22" s="185"/>
      <c r="M22" s="185"/>
    </row>
    <row r="23" spans="1:13" x14ac:dyDescent="0.25">
      <c r="A23" s="187">
        <v>9</v>
      </c>
      <c r="B23" s="185" t="s">
        <v>156</v>
      </c>
      <c r="C23" s="383" t="s">
        <v>23</v>
      </c>
      <c r="D23" s="246">
        <f>+'Structural Ratios'!B40</f>
        <v>1.8850304369031257</v>
      </c>
      <c r="E23" s="199"/>
      <c r="F23" s="185"/>
      <c r="G23" s="198"/>
      <c r="H23" s="185"/>
    </row>
    <row r="24" spans="1:13" x14ac:dyDescent="0.25">
      <c r="A24" s="187"/>
      <c r="B24" s="185"/>
      <c r="C24" s="383"/>
      <c r="D24" s="247"/>
      <c r="E24" s="199"/>
      <c r="F24" s="185"/>
      <c r="G24" s="198"/>
      <c r="H24" s="185"/>
    </row>
    <row r="25" spans="1:13" x14ac:dyDescent="0.25">
      <c r="A25" s="187">
        <v>10</v>
      </c>
      <c r="B25" s="185" t="s">
        <v>157</v>
      </c>
      <c r="C25" s="383" t="s">
        <v>23</v>
      </c>
      <c r="D25" s="325">
        <f>+SUM('P &amp; L'!B24:F24)/SUM('P &amp; L'!B15:F15)</f>
        <v>0.36397010815941394</v>
      </c>
      <c r="E25" s="199"/>
      <c r="F25" s="185"/>
      <c r="G25" s="185"/>
      <c r="H25" s="185"/>
    </row>
    <row r="26" spans="1:13" x14ac:dyDescent="0.25">
      <c r="A26" s="187"/>
      <c r="B26" s="185"/>
      <c r="C26" s="383"/>
      <c r="D26" s="247"/>
      <c r="E26" s="199"/>
      <c r="F26" s="185"/>
      <c r="G26" s="185"/>
      <c r="H26" s="185"/>
    </row>
    <row r="27" spans="1:13" x14ac:dyDescent="0.25">
      <c r="A27" s="187">
        <v>11</v>
      </c>
      <c r="B27" s="185" t="s">
        <v>158</v>
      </c>
      <c r="C27" s="383" t="s">
        <v>23</v>
      </c>
      <c r="D27" s="325">
        <f>+SUM('P &amp; L'!B39:F39)/SUM('P &amp; L'!B15:F15)</f>
        <v>0.1627121448235819</v>
      </c>
      <c r="E27" s="199"/>
      <c r="F27" s="185"/>
      <c r="G27" s="185"/>
      <c r="H27" s="185"/>
    </row>
    <row r="28" spans="1:13" x14ac:dyDescent="0.25">
      <c r="A28" s="187"/>
      <c r="B28" s="185"/>
      <c r="C28" s="383"/>
      <c r="D28" s="247"/>
      <c r="E28" s="199"/>
      <c r="F28" s="185"/>
      <c r="G28" s="185"/>
      <c r="H28" s="185"/>
    </row>
    <row r="29" spans="1:13" x14ac:dyDescent="0.25">
      <c r="A29" s="187">
        <v>12</v>
      </c>
      <c r="B29" s="185" t="s">
        <v>229</v>
      </c>
      <c r="C29" s="383" t="s">
        <v>23</v>
      </c>
      <c r="D29" s="377">
        <f>+'Structural Ratios'!F11</f>
        <v>0.18898385480752097</v>
      </c>
      <c r="E29" s="199"/>
      <c r="F29" s="185"/>
      <c r="G29" s="185"/>
      <c r="H29" s="185"/>
    </row>
    <row r="30" spans="1:13" x14ac:dyDescent="0.25">
      <c r="A30" s="187"/>
      <c r="B30" s="185"/>
      <c r="C30" s="188"/>
      <c r="D30" s="247"/>
      <c r="E30" s="185"/>
      <c r="F30" s="185"/>
      <c r="G30" s="185"/>
      <c r="H30" s="185"/>
    </row>
    <row r="31" spans="1:13" x14ac:dyDescent="0.25">
      <c r="A31" s="187">
        <v>13</v>
      </c>
      <c r="B31" s="186" t="s">
        <v>175</v>
      </c>
      <c r="D31" s="186" t="s">
        <v>176</v>
      </c>
      <c r="G31" s="185"/>
      <c r="H31" s="185"/>
    </row>
    <row r="32" spans="1:13" x14ac:dyDescent="0.25">
      <c r="A32" s="187"/>
      <c r="G32" s="185"/>
      <c r="H32" s="185"/>
    </row>
    <row r="33" spans="1:1" x14ac:dyDescent="0.25">
      <c r="A33" s="187"/>
    </row>
    <row r="34" spans="1:1" x14ac:dyDescent="0.25">
      <c r="A34" s="185"/>
    </row>
    <row r="35" spans="1:1" x14ac:dyDescent="0.25">
      <c r="A35" s="185"/>
    </row>
    <row r="36" spans="1:1" x14ac:dyDescent="0.25">
      <c r="A36" s="185"/>
    </row>
    <row r="37" spans="1:1" x14ac:dyDescent="0.25">
      <c r="A37" s="185"/>
    </row>
    <row r="38" spans="1:1" x14ac:dyDescent="0.25">
      <c r="A38" s="185"/>
    </row>
    <row r="39" spans="1:1" x14ac:dyDescent="0.25">
      <c r="A39" s="185"/>
    </row>
    <row r="40" spans="1:1" x14ac:dyDescent="0.25">
      <c r="A40" s="185"/>
    </row>
    <row r="41" spans="1:1" x14ac:dyDescent="0.25">
      <c r="A41" s="185"/>
    </row>
    <row r="42" spans="1:1" x14ac:dyDescent="0.25">
      <c r="A42" s="185"/>
    </row>
    <row r="43" spans="1:1" x14ac:dyDescent="0.25">
      <c r="A43" s="185"/>
    </row>
    <row r="44" spans="1:1" x14ac:dyDescent="0.25">
      <c r="A44" s="185"/>
    </row>
    <row r="45" spans="1:1" x14ac:dyDescent="0.25">
      <c r="A45" s="185"/>
    </row>
    <row r="46" spans="1:1" x14ac:dyDescent="0.25">
      <c r="A46" s="185"/>
    </row>
    <row r="47" spans="1:1" x14ac:dyDescent="0.25">
      <c r="A47" s="185"/>
    </row>
    <row r="48" spans="1:1" x14ac:dyDescent="0.25">
      <c r="A48" s="185"/>
    </row>
    <row r="49" spans="1:1" x14ac:dyDescent="0.25">
      <c r="A49" s="185"/>
    </row>
    <row r="50" spans="1:1" x14ac:dyDescent="0.25">
      <c r="A50" s="185"/>
    </row>
    <row r="51" spans="1:1" x14ac:dyDescent="0.25">
      <c r="A51" s="185"/>
    </row>
    <row r="52" spans="1:1" x14ac:dyDescent="0.25">
      <c r="A52" s="185"/>
    </row>
    <row r="53" spans="1:1" x14ac:dyDescent="0.25">
      <c r="A53" s="185"/>
    </row>
    <row r="54" spans="1:1" x14ac:dyDescent="0.25">
      <c r="A54" s="185"/>
    </row>
    <row r="55" spans="1:1" x14ac:dyDescent="0.25">
      <c r="A55" s="185"/>
    </row>
    <row r="56" spans="1:1" x14ac:dyDescent="0.25">
      <c r="A56" s="185"/>
    </row>
    <row r="57" spans="1:1" x14ac:dyDescent="0.25">
      <c r="A57" s="185"/>
    </row>
    <row r="58" spans="1:1" x14ac:dyDescent="0.25">
      <c r="A58" s="185"/>
    </row>
    <row r="59" spans="1:1" x14ac:dyDescent="0.25">
      <c r="A59" s="185"/>
    </row>
    <row r="60" spans="1:1" x14ac:dyDescent="0.25">
      <c r="A60" s="185"/>
    </row>
    <row r="61" spans="1:1" x14ac:dyDescent="0.25">
      <c r="A61" s="185"/>
    </row>
    <row r="62" spans="1:1" x14ac:dyDescent="0.25">
      <c r="A62" s="185"/>
    </row>
    <row r="63" spans="1:1" x14ac:dyDescent="0.25">
      <c r="A63" s="185"/>
    </row>
    <row r="64" spans="1:1" x14ac:dyDescent="0.25">
      <c r="A64" s="185"/>
    </row>
    <row r="65" spans="1:1" x14ac:dyDescent="0.25">
      <c r="A65" s="185"/>
    </row>
    <row r="66" spans="1:1" x14ac:dyDescent="0.25">
      <c r="A66" s="185"/>
    </row>
    <row r="67" spans="1:1" x14ac:dyDescent="0.25">
      <c r="A67" s="185"/>
    </row>
    <row r="68" spans="1:1" x14ac:dyDescent="0.25">
      <c r="A68" s="185"/>
    </row>
    <row r="69" spans="1:1" x14ac:dyDescent="0.25">
      <c r="A69" s="185"/>
    </row>
    <row r="70" spans="1:1" x14ac:dyDescent="0.25">
      <c r="A70" s="185"/>
    </row>
    <row r="71" spans="1:1" x14ac:dyDescent="0.25">
      <c r="A71" s="185"/>
    </row>
    <row r="72" spans="1:1" x14ac:dyDescent="0.25">
      <c r="A72" s="185"/>
    </row>
    <row r="73" spans="1:1" x14ac:dyDescent="0.25">
      <c r="A73" s="185"/>
    </row>
    <row r="74" spans="1:1" x14ac:dyDescent="0.25">
      <c r="A74" s="185"/>
    </row>
    <row r="75" spans="1:1" x14ac:dyDescent="0.25">
      <c r="A75" s="185"/>
    </row>
    <row r="76" spans="1:1" x14ac:dyDescent="0.25">
      <c r="A76" s="185"/>
    </row>
    <row r="77" spans="1:1" x14ac:dyDescent="0.25">
      <c r="A77" s="185"/>
    </row>
    <row r="78" spans="1:1" x14ac:dyDescent="0.25">
      <c r="A78" s="185"/>
    </row>
    <row r="79" spans="1:1" x14ac:dyDescent="0.25">
      <c r="A79" s="185"/>
    </row>
    <row r="80" spans="1:1" x14ac:dyDescent="0.25">
      <c r="A80" s="185"/>
    </row>
    <row r="81" spans="1:1" x14ac:dyDescent="0.25">
      <c r="A81" s="185"/>
    </row>
    <row r="82" spans="1:1" x14ac:dyDescent="0.25">
      <c r="A82" s="185"/>
    </row>
    <row r="83" spans="1:1" x14ac:dyDescent="0.25">
      <c r="A83" s="185"/>
    </row>
    <row r="84" spans="1:1" x14ac:dyDescent="0.25">
      <c r="A84" s="185"/>
    </row>
    <row r="85" spans="1:1" x14ac:dyDescent="0.25">
      <c r="A85" s="185"/>
    </row>
    <row r="86" spans="1:1" x14ac:dyDescent="0.25">
      <c r="A86" s="185"/>
    </row>
    <row r="87" spans="1:1" x14ac:dyDescent="0.25">
      <c r="A87" s="185"/>
    </row>
    <row r="88" spans="1:1" x14ac:dyDescent="0.25">
      <c r="A88" s="185"/>
    </row>
    <row r="89" spans="1:1" x14ac:dyDescent="0.25">
      <c r="A89" s="185"/>
    </row>
    <row r="90" spans="1:1" x14ac:dyDescent="0.25">
      <c r="A90" s="185"/>
    </row>
    <row r="91" spans="1:1" x14ac:dyDescent="0.25">
      <c r="A91" s="185"/>
    </row>
    <row r="92" spans="1:1" x14ac:dyDescent="0.25">
      <c r="A92" s="185"/>
    </row>
    <row r="93" spans="1:1" x14ac:dyDescent="0.25">
      <c r="A93" s="185"/>
    </row>
    <row r="94" spans="1:1" x14ac:dyDescent="0.25">
      <c r="A94" s="185"/>
    </row>
    <row r="95" spans="1:1" x14ac:dyDescent="0.25">
      <c r="A95" s="185"/>
    </row>
    <row r="96" spans="1:1" x14ac:dyDescent="0.25">
      <c r="A96" s="185"/>
    </row>
    <row r="97" spans="1:1" x14ac:dyDescent="0.25">
      <c r="A97" s="185"/>
    </row>
    <row r="98" spans="1:1" x14ac:dyDescent="0.25">
      <c r="A98" s="185"/>
    </row>
    <row r="99" spans="1:1" x14ac:dyDescent="0.25">
      <c r="A99" s="185"/>
    </row>
    <row r="100" spans="1:1" x14ac:dyDescent="0.25">
      <c r="A100" s="185"/>
    </row>
    <row r="101" spans="1:1" x14ac:dyDescent="0.25">
      <c r="A101" s="185"/>
    </row>
    <row r="102" spans="1:1" x14ac:dyDescent="0.25">
      <c r="A102" s="185"/>
    </row>
    <row r="103" spans="1:1" x14ac:dyDescent="0.25">
      <c r="A103" s="185"/>
    </row>
    <row r="104" spans="1:1" x14ac:dyDescent="0.25">
      <c r="A104" s="185"/>
    </row>
    <row r="105" spans="1:1" x14ac:dyDescent="0.25">
      <c r="A105" s="185"/>
    </row>
    <row r="106" spans="1:1" x14ac:dyDescent="0.25">
      <c r="A106" s="185"/>
    </row>
    <row r="107" spans="1:1" x14ac:dyDescent="0.25">
      <c r="A107" s="185"/>
    </row>
    <row r="108" spans="1:1" x14ac:dyDescent="0.25">
      <c r="A108" s="185"/>
    </row>
    <row r="109" spans="1:1" x14ac:dyDescent="0.25">
      <c r="A109" s="185"/>
    </row>
    <row r="110" spans="1:1" x14ac:dyDescent="0.25">
      <c r="A110" s="185"/>
    </row>
    <row r="111" spans="1:1" x14ac:dyDescent="0.25">
      <c r="A111" s="185"/>
    </row>
    <row r="112" spans="1:1" x14ac:dyDescent="0.25">
      <c r="A112" s="185"/>
    </row>
    <row r="113" spans="1:1" x14ac:dyDescent="0.25">
      <c r="A113" s="185"/>
    </row>
    <row r="114" spans="1:1" x14ac:dyDescent="0.25">
      <c r="A114" s="185"/>
    </row>
  </sheetData>
  <sheetProtection sheet="1" objects="1" scenarios="1" selectLockedCells="1" selectUnlockedCells="1"/>
  <mergeCells count="3">
    <mergeCell ref="A1:F1"/>
    <mergeCell ref="A2:F2"/>
    <mergeCell ref="D8:F8"/>
  </mergeCells>
  <printOptions horizontalCentered="1"/>
  <pageMargins left="0.42" right="0.26" top="1.26" bottom="0.59" header="0.19" footer="0.36"/>
  <pageSetup orientation="portrait" horizontalDpi="4294967293" verticalDpi="144" r:id="rId1"/>
  <headerFooter alignWithMargins="0">
    <oddFooter>&amp;CPage &amp;P of 11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topLeftCell="A24" workbookViewId="0">
      <selection activeCell="E13" sqref="E13"/>
    </sheetView>
  </sheetViews>
  <sheetFormatPr defaultRowHeight="12.75" x14ac:dyDescent="0.2"/>
  <cols>
    <col min="1" max="1" width="46.85546875" style="274" customWidth="1"/>
    <col min="2" max="2" width="45.28515625" style="265" customWidth="1"/>
    <col min="3" max="256" width="9.140625" style="265"/>
    <col min="257" max="257" width="46.85546875" style="265" customWidth="1"/>
    <col min="258" max="258" width="45.28515625" style="265" customWidth="1"/>
    <col min="259" max="512" width="9.140625" style="265"/>
    <col min="513" max="513" width="46.85546875" style="265" customWidth="1"/>
    <col min="514" max="514" width="45.28515625" style="265" customWidth="1"/>
    <col min="515" max="768" width="9.140625" style="265"/>
    <col min="769" max="769" width="46.85546875" style="265" customWidth="1"/>
    <col min="770" max="770" width="45.28515625" style="265" customWidth="1"/>
    <col min="771" max="1024" width="9.140625" style="265"/>
    <col min="1025" max="1025" width="46.85546875" style="265" customWidth="1"/>
    <col min="1026" max="1026" width="45.28515625" style="265" customWidth="1"/>
    <col min="1027" max="1280" width="9.140625" style="265"/>
    <col min="1281" max="1281" width="46.85546875" style="265" customWidth="1"/>
    <col min="1282" max="1282" width="45.28515625" style="265" customWidth="1"/>
    <col min="1283" max="1536" width="9.140625" style="265"/>
    <col min="1537" max="1537" width="46.85546875" style="265" customWidth="1"/>
    <col min="1538" max="1538" width="45.28515625" style="265" customWidth="1"/>
    <col min="1539" max="1792" width="9.140625" style="265"/>
    <col min="1793" max="1793" width="46.85546875" style="265" customWidth="1"/>
    <col min="1794" max="1794" width="45.28515625" style="265" customWidth="1"/>
    <col min="1795" max="2048" width="9.140625" style="265"/>
    <col min="2049" max="2049" width="46.85546875" style="265" customWidth="1"/>
    <col min="2050" max="2050" width="45.28515625" style="265" customWidth="1"/>
    <col min="2051" max="2304" width="9.140625" style="265"/>
    <col min="2305" max="2305" width="46.85546875" style="265" customWidth="1"/>
    <col min="2306" max="2306" width="45.28515625" style="265" customWidth="1"/>
    <col min="2307" max="2560" width="9.140625" style="265"/>
    <col min="2561" max="2561" width="46.85546875" style="265" customWidth="1"/>
    <col min="2562" max="2562" width="45.28515625" style="265" customWidth="1"/>
    <col min="2563" max="2816" width="9.140625" style="265"/>
    <col min="2817" max="2817" width="46.85546875" style="265" customWidth="1"/>
    <col min="2818" max="2818" width="45.28515625" style="265" customWidth="1"/>
    <col min="2819" max="3072" width="9.140625" style="265"/>
    <col min="3073" max="3073" width="46.85546875" style="265" customWidth="1"/>
    <col min="3074" max="3074" width="45.28515625" style="265" customWidth="1"/>
    <col min="3075" max="3328" width="9.140625" style="265"/>
    <col min="3329" max="3329" width="46.85546875" style="265" customWidth="1"/>
    <col min="3330" max="3330" width="45.28515625" style="265" customWidth="1"/>
    <col min="3331" max="3584" width="9.140625" style="265"/>
    <col min="3585" max="3585" width="46.85546875" style="265" customWidth="1"/>
    <col min="3586" max="3586" width="45.28515625" style="265" customWidth="1"/>
    <col min="3587" max="3840" width="9.140625" style="265"/>
    <col min="3841" max="3841" width="46.85546875" style="265" customWidth="1"/>
    <col min="3842" max="3842" width="45.28515625" style="265" customWidth="1"/>
    <col min="3843" max="4096" width="9.140625" style="265"/>
    <col min="4097" max="4097" width="46.85546875" style="265" customWidth="1"/>
    <col min="4098" max="4098" width="45.28515625" style="265" customWidth="1"/>
    <col min="4099" max="4352" width="9.140625" style="265"/>
    <col min="4353" max="4353" width="46.85546875" style="265" customWidth="1"/>
    <col min="4354" max="4354" width="45.28515625" style="265" customWidth="1"/>
    <col min="4355" max="4608" width="9.140625" style="265"/>
    <col min="4609" max="4609" width="46.85546875" style="265" customWidth="1"/>
    <col min="4610" max="4610" width="45.28515625" style="265" customWidth="1"/>
    <col min="4611" max="4864" width="9.140625" style="265"/>
    <col min="4865" max="4865" width="46.85546875" style="265" customWidth="1"/>
    <col min="4866" max="4866" width="45.28515625" style="265" customWidth="1"/>
    <col min="4867" max="5120" width="9.140625" style="265"/>
    <col min="5121" max="5121" width="46.85546875" style="265" customWidth="1"/>
    <col min="5122" max="5122" width="45.28515625" style="265" customWidth="1"/>
    <col min="5123" max="5376" width="9.140625" style="265"/>
    <col min="5377" max="5377" width="46.85546875" style="265" customWidth="1"/>
    <col min="5378" max="5378" width="45.28515625" style="265" customWidth="1"/>
    <col min="5379" max="5632" width="9.140625" style="265"/>
    <col min="5633" max="5633" width="46.85546875" style="265" customWidth="1"/>
    <col min="5634" max="5634" width="45.28515625" style="265" customWidth="1"/>
    <col min="5635" max="5888" width="9.140625" style="265"/>
    <col min="5889" max="5889" width="46.85546875" style="265" customWidth="1"/>
    <col min="5890" max="5890" width="45.28515625" style="265" customWidth="1"/>
    <col min="5891" max="6144" width="9.140625" style="265"/>
    <col min="6145" max="6145" width="46.85546875" style="265" customWidth="1"/>
    <col min="6146" max="6146" width="45.28515625" style="265" customWidth="1"/>
    <col min="6147" max="6400" width="9.140625" style="265"/>
    <col min="6401" max="6401" width="46.85546875" style="265" customWidth="1"/>
    <col min="6402" max="6402" width="45.28515625" style="265" customWidth="1"/>
    <col min="6403" max="6656" width="9.140625" style="265"/>
    <col min="6657" max="6657" width="46.85546875" style="265" customWidth="1"/>
    <col min="6658" max="6658" width="45.28515625" style="265" customWidth="1"/>
    <col min="6659" max="6912" width="9.140625" style="265"/>
    <col min="6913" max="6913" width="46.85546875" style="265" customWidth="1"/>
    <col min="6914" max="6914" width="45.28515625" style="265" customWidth="1"/>
    <col min="6915" max="7168" width="9.140625" style="265"/>
    <col min="7169" max="7169" width="46.85546875" style="265" customWidth="1"/>
    <col min="7170" max="7170" width="45.28515625" style="265" customWidth="1"/>
    <col min="7171" max="7424" width="9.140625" style="265"/>
    <col min="7425" max="7425" width="46.85546875" style="265" customWidth="1"/>
    <col min="7426" max="7426" width="45.28515625" style="265" customWidth="1"/>
    <col min="7427" max="7680" width="9.140625" style="265"/>
    <col min="7681" max="7681" width="46.85546875" style="265" customWidth="1"/>
    <col min="7682" max="7682" width="45.28515625" style="265" customWidth="1"/>
    <col min="7683" max="7936" width="9.140625" style="265"/>
    <col min="7937" max="7937" width="46.85546875" style="265" customWidth="1"/>
    <col min="7938" max="7938" width="45.28515625" style="265" customWidth="1"/>
    <col min="7939" max="8192" width="9.140625" style="265"/>
    <col min="8193" max="8193" width="46.85546875" style="265" customWidth="1"/>
    <col min="8194" max="8194" width="45.28515625" style="265" customWidth="1"/>
    <col min="8195" max="8448" width="9.140625" style="265"/>
    <col min="8449" max="8449" width="46.85546875" style="265" customWidth="1"/>
    <col min="8450" max="8450" width="45.28515625" style="265" customWidth="1"/>
    <col min="8451" max="8704" width="9.140625" style="265"/>
    <col min="8705" max="8705" width="46.85546875" style="265" customWidth="1"/>
    <col min="8706" max="8706" width="45.28515625" style="265" customWidth="1"/>
    <col min="8707" max="8960" width="9.140625" style="265"/>
    <col min="8961" max="8961" width="46.85546875" style="265" customWidth="1"/>
    <col min="8962" max="8962" width="45.28515625" style="265" customWidth="1"/>
    <col min="8963" max="9216" width="9.140625" style="265"/>
    <col min="9217" max="9217" width="46.85546875" style="265" customWidth="1"/>
    <col min="9218" max="9218" width="45.28515625" style="265" customWidth="1"/>
    <col min="9219" max="9472" width="9.140625" style="265"/>
    <col min="9473" max="9473" width="46.85546875" style="265" customWidth="1"/>
    <col min="9474" max="9474" width="45.28515625" style="265" customWidth="1"/>
    <col min="9475" max="9728" width="9.140625" style="265"/>
    <col min="9729" max="9729" width="46.85546875" style="265" customWidth="1"/>
    <col min="9730" max="9730" width="45.28515625" style="265" customWidth="1"/>
    <col min="9731" max="9984" width="9.140625" style="265"/>
    <col min="9985" max="9985" width="46.85546875" style="265" customWidth="1"/>
    <col min="9986" max="9986" width="45.28515625" style="265" customWidth="1"/>
    <col min="9987" max="10240" width="9.140625" style="265"/>
    <col min="10241" max="10241" width="46.85546875" style="265" customWidth="1"/>
    <col min="10242" max="10242" width="45.28515625" style="265" customWidth="1"/>
    <col min="10243" max="10496" width="9.140625" style="265"/>
    <col min="10497" max="10497" width="46.85546875" style="265" customWidth="1"/>
    <col min="10498" max="10498" width="45.28515625" style="265" customWidth="1"/>
    <col min="10499" max="10752" width="9.140625" style="265"/>
    <col min="10753" max="10753" width="46.85546875" style="265" customWidth="1"/>
    <col min="10754" max="10754" width="45.28515625" style="265" customWidth="1"/>
    <col min="10755" max="11008" width="9.140625" style="265"/>
    <col min="11009" max="11009" width="46.85546875" style="265" customWidth="1"/>
    <col min="11010" max="11010" width="45.28515625" style="265" customWidth="1"/>
    <col min="11011" max="11264" width="9.140625" style="265"/>
    <col min="11265" max="11265" width="46.85546875" style="265" customWidth="1"/>
    <col min="11266" max="11266" width="45.28515625" style="265" customWidth="1"/>
    <col min="11267" max="11520" width="9.140625" style="265"/>
    <col min="11521" max="11521" width="46.85546875" style="265" customWidth="1"/>
    <col min="11522" max="11522" width="45.28515625" style="265" customWidth="1"/>
    <col min="11523" max="11776" width="9.140625" style="265"/>
    <col min="11777" max="11777" width="46.85546875" style="265" customWidth="1"/>
    <col min="11778" max="11778" width="45.28515625" style="265" customWidth="1"/>
    <col min="11779" max="12032" width="9.140625" style="265"/>
    <col min="12033" max="12033" width="46.85546875" style="265" customWidth="1"/>
    <col min="12034" max="12034" width="45.28515625" style="265" customWidth="1"/>
    <col min="12035" max="12288" width="9.140625" style="265"/>
    <col min="12289" max="12289" width="46.85546875" style="265" customWidth="1"/>
    <col min="12290" max="12290" width="45.28515625" style="265" customWidth="1"/>
    <col min="12291" max="12544" width="9.140625" style="265"/>
    <col min="12545" max="12545" width="46.85546875" style="265" customWidth="1"/>
    <col min="12546" max="12546" width="45.28515625" style="265" customWidth="1"/>
    <col min="12547" max="12800" width="9.140625" style="265"/>
    <col min="12801" max="12801" width="46.85546875" style="265" customWidth="1"/>
    <col min="12802" max="12802" width="45.28515625" style="265" customWidth="1"/>
    <col min="12803" max="13056" width="9.140625" style="265"/>
    <col min="13057" max="13057" width="46.85546875" style="265" customWidth="1"/>
    <col min="13058" max="13058" width="45.28515625" style="265" customWidth="1"/>
    <col min="13059" max="13312" width="9.140625" style="265"/>
    <col min="13313" max="13313" width="46.85546875" style="265" customWidth="1"/>
    <col min="13314" max="13314" width="45.28515625" style="265" customWidth="1"/>
    <col min="13315" max="13568" width="9.140625" style="265"/>
    <col min="13569" max="13569" width="46.85546875" style="265" customWidth="1"/>
    <col min="13570" max="13570" width="45.28515625" style="265" customWidth="1"/>
    <col min="13571" max="13824" width="9.140625" style="265"/>
    <col min="13825" max="13825" width="46.85546875" style="265" customWidth="1"/>
    <col min="13826" max="13826" width="45.28515625" style="265" customWidth="1"/>
    <col min="13827" max="14080" width="9.140625" style="265"/>
    <col min="14081" max="14081" width="46.85546875" style="265" customWidth="1"/>
    <col min="14082" max="14082" width="45.28515625" style="265" customWidth="1"/>
    <col min="14083" max="14336" width="9.140625" style="265"/>
    <col min="14337" max="14337" width="46.85546875" style="265" customWidth="1"/>
    <col min="14338" max="14338" width="45.28515625" style="265" customWidth="1"/>
    <col min="14339" max="14592" width="9.140625" style="265"/>
    <col min="14593" max="14593" width="46.85546875" style="265" customWidth="1"/>
    <col min="14594" max="14594" width="45.28515625" style="265" customWidth="1"/>
    <col min="14595" max="14848" width="9.140625" style="265"/>
    <col min="14849" max="14849" width="46.85546875" style="265" customWidth="1"/>
    <col min="14850" max="14850" width="45.28515625" style="265" customWidth="1"/>
    <col min="14851" max="15104" width="9.140625" style="265"/>
    <col min="15105" max="15105" width="46.85546875" style="265" customWidth="1"/>
    <col min="15106" max="15106" width="45.28515625" style="265" customWidth="1"/>
    <col min="15107" max="15360" width="9.140625" style="265"/>
    <col min="15361" max="15361" width="46.85546875" style="265" customWidth="1"/>
    <col min="15362" max="15362" width="45.28515625" style="265" customWidth="1"/>
    <col min="15363" max="15616" width="9.140625" style="265"/>
    <col min="15617" max="15617" width="46.85546875" style="265" customWidth="1"/>
    <col min="15618" max="15618" width="45.28515625" style="265" customWidth="1"/>
    <col min="15619" max="15872" width="9.140625" style="265"/>
    <col min="15873" max="15873" width="46.85546875" style="265" customWidth="1"/>
    <col min="15874" max="15874" width="45.28515625" style="265" customWidth="1"/>
    <col min="15875" max="16128" width="9.140625" style="265"/>
    <col min="16129" max="16129" width="46.85546875" style="265" customWidth="1"/>
    <col min="16130" max="16130" width="45.28515625" style="265" customWidth="1"/>
    <col min="16131" max="16384" width="9.140625" style="265"/>
  </cols>
  <sheetData>
    <row r="1" spans="1:6" ht="14.25" x14ac:dyDescent="0.2">
      <c r="A1" s="494" t="str">
        <f>+'Cover Page'!A3</f>
        <v>M/s SMJ Interiors</v>
      </c>
      <c r="B1" s="494"/>
      <c r="C1" s="262"/>
      <c r="D1" s="262"/>
      <c r="E1" s="262"/>
      <c r="F1" s="262"/>
    </row>
    <row r="2" spans="1:6" ht="14.25" x14ac:dyDescent="0.2">
      <c r="A2" s="494" t="str">
        <f>+'Cover Page'!A4</f>
        <v>(UPVC Window Making Plant)</v>
      </c>
      <c r="B2" s="494"/>
      <c r="C2" s="262"/>
      <c r="D2" s="262"/>
      <c r="E2" s="262"/>
      <c r="F2" s="262"/>
    </row>
    <row r="3" spans="1:6" x14ac:dyDescent="0.2">
      <c r="B3" s="275" t="s">
        <v>207</v>
      </c>
    </row>
    <row r="4" spans="1:6" ht="15.75" x14ac:dyDescent="0.25">
      <c r="A4" s="315" t="s">
        <v>187</v>
      </c>
      <c r="B4" s="316" t="str">
        <f>+'PROJECT AT GLANCE'!D13</f>
        <v>Mr. Mukesh Kumar Jangir</v>
      </c>
    </row>
    <row r="5" spans="1:6" ht="15.75" x14ac:dyDescent="0.25">
      <c r="A5" s="317"/>
      <c r="B5" s="318"/>
    </row>
    <row r="6" spans="1:6" ht="15.75" x14ac:dyDescent="0.25">
      <c r="A6" s="317"/>
      <c r="B6" s="318"/>
    </row>
    <row r="7" spans="1:6" ht="15.75" x14ac:dyDescent="0.25">
      <c r="A7" s="317"/>
      <c r="B7" s="318"/>
    </row>
    <row r="8" spans="1:6" ht="15.75" x14ac:dyDescent="0.25">
      <c r="A8" s="317"/>
      <c r="B8" s="319"/>
    </row>
    <row r="9" spans="1:6" ht="15.75" x14ac:dyDescent="0.25">
      <c r="A9" s="317" t="s">
        <v>188</v>
      </c>
      <c r="B9" s="319" t="s">
        <v>195</v>
      </c>
    </row>
    <row r="10" spans="1:6" ht="15.75" x14ac:dyDescent="0.25">
      <c r="A10" s="317"/>
      <c r="B10" s="319"/>
    </row>
    <row r="11" spans="1:6" ht="15.75" x14ac:dyDescent="0.25">
      <c r="A11" s="317"/>
      <c r="B11" s="319"/>
    </row>
    <row r="12" spans="1:6" ht="15.75" x14ac:dyDescent="0.25">
      <c r="A12" s="317"/>
      <c r="B12" s="319"/>
    </row>
    <row r="13" spans="1:6" ht="15.75" x14ac:dyDescent="0.25">
      <c r="A13" s="317"/>
      <c r="B13" s="319"/>
    </row>
    <row r="14" spans="1:6" ht="15.75" x14ac:dyDescent="0.25">
      <c r="A14" s="317"/>
      <c r="B14" s="319"/>
    </row>
    <row r="15" spans="1:6" ht="15.75" x14ac:dyDescent="0.25">
      <c r="A15" s="317" t="s">
        <v>189</v>
      </c>
      <c r="B15" s="319" t="s">
        <v>196</v>
      </c>
    </row>
    <row r="16" spans="1:6" ht="15.75" x14ac:dyDescent="0.25">
      <c r="A16" s="317"/>
      <c r="B16" s="319"/>
    </row>
    <row r="17" spans="1:2" ht="15.75" x14ac:dyDescent="0.25">
      <c r="A17" s="317"/>
      <c r="B17" s="319"/>
    </row>
    <row r="18" spans="1:2" ht="15.75" x14ac:dyDescent="0.25">
      <c r="A18" s="317"/>
      <c r="B18" s="319"/>
    </row>
    <row r="19" spans="1:2" ht="15.75" x14ac:dyDescent="0.25">
      <c r="A19" s="317"/>
      <c r="B19" s="319"/>
    </row>
    <row r="20" spans="1:2" ht="15.75" x14ac:dyDescent="0.25">
      <c r="A20" s="317" t="s">
        <v>190</v>
      </c>
      <c r="B20" s="37" t="s">
        <v>198</v>
      </c>
    </row>
    <row r="21" spans="1:2" ht="15.75" x14ac:dyDescent="0.25">
      <c r="A21" s="317"/>
      <c r="B21" s="37"/>
    </row>
    <row r="22" spans="1:2" ht="15.75" x14ac:dyDescent="0.25">
      <c r="A22" s="317"/>
      <c r="B22" s="37"/>
    </row>
    <row r="23" spans="1:2" ht="15.75" x14ac:dyDescent="0.25">
      <c r="A23" s="317"/>
      <c r="B23" s="319"/>
    </row>
    <row r="24" spans="1:2" ht="21.75" customHeight="1" x14ac:dyDescent="0.25">
      <c r="A24" s="317" t="s">
        <v>191</v>
      </c>
      <c r="B24" s="319" t="s">
        <v>152</v>
      </c>
    </row>
    <row r="25" spans="1:2" ht="21.75" customHeight="1" x14ac:dyDescent="0.25">
      <c r="A25" s="317"/>
      <c r="B25" s="319"/>
    </row>
    <row r="26" spans="1:2" ht="21.75" customHeight="1" x14ac:dyDescent="0.25">
      <c r="A26" s="317"/>
      <c r="B26" s="319"/>
    </row>
    <row r="27" spans="1:2" ht="16.5" customHeight="1" x14ac:dyDescent="0.25">
      <c r="A27" s="317"/>
      <c r="B27" s="319"/>
    </row>
    <row r="28" spans="1:2" ht="15.75" x14ac:dyDescent="0.25">
      <c r="A28" s="317" t="s">
        <v>192</v>
      </c>
      <c r="B28" s="319" t="s">
        <v>193</v>
      </c>
    </row>
    <row r="29" spans="1:2" ht="15.75" x14ac:dyDescent="0.25">
      <c r="A29" s="317"/>
      <c r="B29" s="319"/>
    </row>
    <row r="30" spans="1:2" ht="15.75" x14ac:dyDescent="0.25">
      <c r="A30" s="317"/>
      <c r="B30" s="319"/>
    </row>
    <row r="31" spans="1:2" ht="15.75" x14ac:dyDescent="0.25">
      <c r="A31" s="317"/>
      <c r="B31" s="319"/>
    </row>
    <row r="32" spans="1:2" ht="47.25" x14ac:dyDescent="0.25">
      <c r="A32" s="317" t="s">
        <v>194</v>
      </c>
      <c r="B32" s="320" t="s">
        <v>197</v>
      </c>
    </row>
    <row r="33" spans="1:2" ht="15.75" x14ac:dyDescent="0.25">
      <c r="A33" s="317"/>
      <c r="B33" s="321"/>
    </row>
    <row r="34" spans="1:2" ht="15.75" x14ac:dyDescent="0.25">
      <c r="A34" s="322"/>
      <c r="B34" s="323"/>
    </row>
    <row r="35" spans="1:2" ht="15.75" x14ac:dyDescent="0.25">
      <c r="A35" s="245"/>
      <c r="B35" s="324"/>
    </row>
    <row r="36" spans="1:2" ht="15.75" x14ac:dyDescent="0.25">
      <c r="A36" s="245"/>
      <c r="B36" s="324"/>
    </row>
  </sheetData>
  <sheetProtection sheet="1" objects="1" scenarios="1" selectLockedCells="1" selectUnlockedCells="1"/>
  <mergeCells count="2">
    <mergeCell ref="A2:B2"/>
    <mergeCell ref="A1:B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zoomScaleNormal="100" workbookViewId="0">
      <selection activeCell="A13" sqref="A13:F13"/>
    </sheetView>
  </sheetViews>
  <sheetFormatPr defaultRowHeight="15" x14ac:dyDescent="0.25"/>
  <cols>
    <col min="6" max="6" width="38.42578125" customWidth="1"/>
  </cols>
  <sheetData>
    <row r="1" spans="1:6" ht="15.75" x14ac:dyDescent="0.25">
      <c r="A1" s="496" t="str">
        <f>+'PRAMOTOR PROFILE'!A1:B1</f>
        <v>M/s SMJ Interiors</v>
      </c>
      <c r="B1" s="496"/>
      <c r="C1" s="496"/>
      <c r="D1" s="496"/>
      <c r="E1" s="496"/>
      <c r="F1" s="496"/>
    </row>
    <row r="2" spans="1:6" ht="15.75" x14ac:dyDescent="0.25">
      <c r="A2" s="496" t="str">
        <f>+'PRAMOTOR PROFILE'!A2:B2</f>
        <v>(UPVC Window Making Plant)</v>
      </c>
      <c r="B2" s="496"/>
      <c r="C2" s="496"/>
      <c r="D2" s="496"/>
      <c r="E2" s="496"/>
      <c r="F2" s="496"/>
    </row>
    <row r="3" spans="1:6" x14ac:dyDescent="0.25">
      <c r="F3" s="385" t="s">
        <v>278</v>
      </c>
    </row>
    <row r="4" spans="1:6" x14ac:dyDescent="0.25">
      <c r="A4" s="384" t="s">
        <v>277</v>
      </c>
    </row>
    <row r="6" spans="1:6" ht="15.75" x14ac:dyDescent="0.25">
      <c r="A6" s="451" t="s">
        <v>302</v>
      </c>
    </row>
    <row r="7" spans="1:6" x14ac:dyDescent="0.25">
      <c r="A7" s="384"/>
    </row>
    <row r="8" spans="1:6" ht="30" customHeight="1" x14ac:dyDescent="0.25">
      <c r="A8" s="497" t="s">
        <v>301</v>
      </c>
      <c r="B8" s="497"/>
      <c r="C8" s="497"/>
      <c r="D8" s="497"/>
      <c r="E8" s="497"/>
      <c r="F8" s="497"/>
    </row>
    <row r="9" spans="1:6" x14ac:dyDescent="0.25">
      <c r="A9" s="497"/>
      <c r="B9" s="497"/>
      <c r="C9" s="497"/>
      <c r="D9" s="497"/>
      <c r="E9" s="497"/>
      <c r="F9" s="497"/>
    </row>
    <row r="10" spans="1:6" ht="239.25" customHeight="1" x14ac:dyDescent="0.25">
      <c r="A10" s="497"/>
      <c r="B10" s="497"/>
      <c r="C10" s="497"/>
      <c r="D10" s="497"/>
      <c r="E10" s="497"/>
      <c r="F10" s="497"/>
    </row>
    <row r="12" spans="1:6" x14ac:dyDescent="0.25">
      <c r="A12" s="384"/>
    </row>
    <row r="13" spans="1:6" ht="86.25" customHeight="1" x14ac:dyDescent="0.25">
      <c r="A13" s="497"/>
      <c r="B13" s="497"/>
      <c r="C13" s="497"/>
      <c r="D13" s="497"/>
      <c r="E13" s="497"/>
      <c r="F13" s="497"/>
    </row>
    <row r="15" spans="1:6" ht="59.25" customHeight="1" x14ac:dyDescent="0.25">
      <c r="A15" s="498"/>
      <c r="B15" s="498"/>
      <c r="C15" s="498"/>
      <c r="D15" s="498"/>
      <c r="E15" s="498"/>
      <c r="F15" s="498"/>
    </row>
  </sheetData>
  <sheetProtection sheet="1" objects="1" scenarios="1" selectLockedCells="1" selectUnlockedCells="1"/>
  <mergeCells count="5">
    <mergeCell ref="A1:F1"/>
    <mergeCell ref="A2:F2"/>
    <mergeCell ref="A13:F13"/>
    <mergeCell ref="A15:F15"/>
    <mergeCell ref="A8:F1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topLeftCell="A6" zoomScaleNormal="100" workbookViewId="0">
      <selection activeCell="E13" sqref="E13"/>
    </sheetView>
  </sheetViews>
  <sheetFormatPr defaultRowHeight="15" x14ac:dyDescent="0.25"/>
  <cols>
    <col min="1" max="1" width="40.140625" style="186" customWidth="1"/>
    <col min="2" max="2" width="8.140625" style="186" customWidth="1"/>
    <col min="3" max="3" width="22.140625" style="186" customWidth="1"/>
    <col min="4" max="4" width="11" style="186" customWidth="1"/>
    <col min="5" max="8" width="10" style="186" customWidth="1"/>
    <col min="9" max="9" width="12.5703125" style="186" customWidth="1"/>
    <col min="10" max="16384" width="9.140625" style="186"/>
  </cols>
  <sheetData>
    <row r="1" spans="1:15" x14ac:dyDescent="0.25">
      <c r="A1" s="499" t="str">
        <f>+'PROJECT AT GLANCE'!A1:F1</f>
        <v>M/s SMJ Interiors</v>
      </c>
      <c r="B1" s="499"/>
      <c r="C1" s="499"/>
      <c r="D1" s="237"/>
      <c r="E1" s="237"/>
    </row>
    <row r="2" spans="1:15" x14ac:dyDescent="0.25">
      <c r="A2" s="499" t="str">
        <f>+'PROJECT AT GLANCE'!A2:F2</f>
        <v>(UPVC Window Making Plant)</v>
      </c>
      <c r="B2" s="499"/>
      <c r="C2" s="499"/>
      <c r="D2" s="238"/>
      <c r="E2" s="238"/>
    </row>
    <row r="3" spans="1:15" x14ac:dyDescent="0.25">
      <c r="A3" s="200"/>
      <c r="B3" s="200"/>
      <c r="C3" s="200"/>
      <c r="D3" s="200"/>
      <c r="E3" s="200"/>
    </row>
    <row r="4" spans="1:15" x14ac:dyDescent="0.25">
      <c r="A4" s="201"/>
      <c r="B4" s="201"/>
      <c r="C4" s="201" t="s">
        <v>208</v>
      </c>
      <c r="E4" s="202"/>
      <c r="G4" s="185"/>
      <c r="H4" s="185"/>
      <c r="I4" s="185"/>
      <c r="J4" s="185"/>
      <c r="K4" s="185"/>
      <c r="L4" s="185"/>
      <c r="M4" s="185"/>
      <c r="N4" s="185"/>
      <c r="O4" s="185"/>
    </row>
    <row r="5" spans="1:15" x14ac:dyDescent="0.25">
      <c r="A5" s="201"/>
      <c r="B5" s="201"/>
      <c r="E5" s="202"/>
      <c r="G5" s="185"/>
      <c r="H5" s="185"/>
      <c r="I5" s="185"/>
      <c r="J5" s="185"/>
      <c r="K5" s="185"/>
      <c r="L5" s="185"/>
      <c r="M5" s="185"/>
      <c r="N5" s="185"/>
      <c r="O5" s="185"/>
    </row>
    <row r="6" spans="1:15" x14ac:dyDescent="0.25">
      <c r="A6" s="201" t="s">
        <v>159</v>
      </c>
      <c r="E6" s="202"/>
      <c r="G6" s="185"/>
      <c r="H6" s="185"/>
      <c r="I6" s="185"/>
      <c r="J6" s="185"/>
      <c r="K6" s="185"/>
      <c r="L6" s="185"/>
      <c r="M6" s="185"/>
      <c r="N6" s="185"/>
      <c r="O6" s="185"/>
    </row>
    <row r="7" spans="1:15" x14ac:dyDescent="0.25">
      <c r="A7" s="201"/>
      <c r="E7" s="202"/>
      <c r="G7" s="185"/>
      <c r="H7" s="185"/>
      <c r="I7" s="185"/>
      <c r="J7" s="185"/>
      <c r="K7" s="185"/>
      <c r="L7" s="185"/>
      <c r="M7" s="185"/>
      <c r="N7" s="185"/>
      <c r="O7" s="185"/>
    </row>
    <row r="8" spans="1:15" x14ac:dyDescent="0.25">
      <c r="A8" s="186" t="s">
        <v>160</v>
      </c>
      <c r="C8" s="203" t="str">
        <f>C19&amp;" Lakhs"</f>
        <v>34 Lakhs</v>
      </c>
      <c r="D8" s="204"/>
      <c r="G8" s="185"/>
      <c r="H8" s="185"/>
      <c r="I8" s="185"/>
      <c r="J8" s="185"/>
      <c r="K8" s="185"/>
      <c r="L8" s="185"/>
      <c r="M8" s="185"/>
      <c r="N8" s="185"/>
      <c r="O8" s="185"/>
    </row>
    <row r="9" spans="1:15" x14ac:dyDescent="0.25">
      <c r="D9" s="203"/>
      <c r="E9" s="204"/>
      <c r="G9" s="185"/>
      <c r="H9" s="185"/>
      <c r="I9" s="185"/>
      <c r="J9" s="185"/>
      <c r="K9" s="185"/>
      <c r="L9" s="185"/>
      <c r="M9" s="185"/>
      <c r="N9" s="185"/>
      <c r="O9" s="185"/>
    </row>
    <row r="10" spans="1:15" x14ac:dyDescent="0.25">
      <c r="A10" s="186" t="s">
        <v>161</v>
      </c>
      <c r="E10" s="202"/>
      <c r="G10" s="185"/>
      <c r="H10" s="185"/>
      <c r="I10" s="185"/>
      <c r="J10" s="185"/>
      <c r="K10" s="185"/>
      <c r="L10" s="185"/>
      <c r="M10" s="185"/>
      <c r="N10" s="185"/>
      <c r="O10" s="185"/>
    </row>
    <row r="11" spans="1:15" x14ac:dyDescent="0.25">
      <c r="E11" s="201"/>
      <c r="G11" s="185"/>
      <c r="H11" s="185"/>
      <c r="I11" s="185"/>
      <c r="J11" s="185"/>
      <c r="K11" s="185"/>
      <c r="L11" s="185"/>
      <c r="M11" s="185"/>
      <c r="N11" s="185"/>
      <c r="O11" s="185"/>
    </row>
    <row r="12" spans="1:15" x14ac:dyDescent="0.25">
      <c r="A12" s="184" t="s">
        <v>162</v>
      </c>
      <c r="B12" s="188" t="s">
        <v>23</v>
      </c>
      <c r="C12" s="190" t="s">
        <v>163</v>
      </c>
      <c r="E12" s="190"/>
      <c r="F12" s="494"/>
      <c r="G12" s="494"/>
      <c r="H12" s="188"/>
      <c r="I12" s="188"/>
    </row>
    <row r="13" spans="1:15" x14ac:dyDescent="0.25">
      <c r="A13" s="206" t="s">
        <v>41</v>
      </c>
      <c r="B13" s="207"/>
      <c r="C13" s="208" t="s">
        <v>48</v>
      </c>
      <c r="E13" s="188"/>
      <c r="F13" s="187"/>
      <c r="G13" s="187"/>
      <c r="H13" s="187"/>
      <c r="I13" s="187"/>
    </row>
    <row r="14" spans="1:15" x14ac:dyDescent="0.25">
      <c r="A14" s="209" t="s">
        <v>299</v>
      </c>
      <c r="B14" s="188"/>
      <c r="C14" s="210">
        <v>27</v>
      </c>
      <c r="E14" s="196"/>
      <c r="F14" s="196"/>
      <c r="G14" s="196"/>
      <c r="H14" s="196"/>
      <c r="I14" s="187"/>
    </row>
    <row r="15" spans="1:15" x14ac:dyDescent="0.25">
      <c r="A15" s="209" t="s">
        <v>164</v>
      </c>
      <c r="B15" s="188"/>
      <c r="C15" s="210">
        <v>1.55</v>
      </c>
      <c r="E15" s="196"/>
      <c r="F15" s="196"/>
      <c r="G15" s="196"/>
      <c r="H15" s="196"/>
      <c r="I15" s="187"/>
    </row>
    <row r="16" spans="1:15" x14ac:dyDescent="0.25">
      <c r="A16" s="209" t="s">
        <v>122</v>
      </c>
      <c r="C16" s="210">
        <v>0.45</v>
      </c>
      <c r="E16" s="196"/>
      <c r="F16" s="196"/>
      <c r="G16" s="211"/>
      <c r="H16" s="211"/>
      <c r="I16" s="196"/>
    </row>
    <row r="17" spans="1:10" x14ac:dyDescent="0.25">
      <c r="A17" s="209" t="s">
        <v>121</v>
      </c>
      <c r="B17" s="188"/>
      <c r="C17" s="210">
        <v>5</v>
      </c>
      <c r="E17" s="196"/>
      <c r="F17" s="196"/>
      <c r="G17" s="196"/>
      <c r="H17" s="211"/>
      <c r="I17" s="196"/>
    </row>
    <row r="18" spans="1:10" x14ac:dyDescent="0.25">
      <c r="A18" s="209"/>
      <c r="B18" s="188"/>
      <c r="C18" s="210">
        <v>0</v>
      </c>
      <c r="E18" s="196"/>
      <c r="F18" s="196"/>
      <c r="G18" s="196"/>
      <c r="H18" s="211"/>
      <c r="I18" s="196"/>
    </row>
    <row r="19" spans="1:10" x14ac:dyDescent="0.25">
      <c r="A19" s="234" t="s">
        <v>48</v>
      </c>
      <c r="B19" s="230"/>
      <c r="C19" s="235">
        <f>SUM(C14:C18)</f>
        <v>34</v>
      </c>
      <c r="E19" s="196"/>
      <c r="F19" s="196"/>
      <c r="G19" s="196"/>
      <c r="H19" s="211"/>
      <c r="I19" s="196"/>
    </row>
    <row r="20" spans="1:10" x14ac:dyDescent="0.25">
      <c r="A20" s="185"/>
      <c r="B20" s="185"/>
      <c r="C20" s="185"/>
      <c r="E20" s="196"/>
      <c r="F20" s="196"/>
      <c r="G20" s="211"/>
      <c r="H20" s="211"/>
      <c r="I20" s="196"/>
    </row>
    <row r="21" spans="1:10" x14ac:dyDescent="0.25">
      <c r="A21" s="184" t="s">
        <v>165</v>
      </c>
      <c r="B21" s="188" t="s">
        <v>23</v>
      </c>
      <c r="C21" s="185"/>
      <c r="E21" s="188"/>
      <c r="F21" s="196"/>
      <c r="G21" s="196"/>
      <c r="H21" s="196"/>
      <c r="I21" s="196"/>
    </row>
    <row r="22" spans="1:10" x14ac:dyDescent="0.25">
      <c r="A22" s="206" t="s">
        <v>41</v>
      </c>
      <c r="B22" s="207"/>
      <c r="C22" s="208" t="s">
        <v>48</v>
      </c>
      <c r="E22" s="212"/>
      <c r="F22" s="196"/>
      <c r="G22" s="196"/>
      <c r="H22" s="196"/>
      <c r="I22" s="196"/>
    </row>
    <row r="23" spans="1:10" x14ac:dyDescent="0.25">
      <c r="A23" s="231" t="s">
        <v>166</v>
      </c>
      <c r="B23" s="232"/>
      <c r="C23" s="213">
        <v>4.1500000000000004</v>
      </c>
      <c r="E23" s="212"/>
      <c r="F23" s="196"/>
      <c r="G23" s="196"/>
      <c r="H23" s="196"/>
      <c r="I23" s="196"/>
    </row>
    <row r="24" spans="1:10" x14ac:dyDescent="0.25">
      <c r="A24" s="209" t="s">
        <v>167</v>
      </c>
      <c r="B24" s="233"/>
      <c r="C24" s="213">
        <f>+C27-C23-C25</f>
        <v>24.85</v>
      </c>
      <c r="E24" s="212"/>
      <c r="F24" s="188"/>
      <c r="G24" s="214"/>
      <c r="H24" s="185"/>
    </row>
    <row r="25" spans="1:10" x14ac:dyDescent="0.25">
      <c r="A25" s="209" t="s">
        <v>168</v>
      </c>
      <c r="B25" s="233"/>
      <c r="C25" s="213">
        <v>5</v>
      </c>
      <c r="E25" s="212"/>
      <c r="F25" s="188"/>
      <c r="G25" s="214"/>
      <c r="H25" s="185"/>
    </row>
    <row r="26" spans="1:10" x14ac:dyDescent="0.25">
      <c r="A26" s="209"/>
      <c r="B26" s="233"/>
      <c r="C26" s="213"/>
      <c r="E26" s="212"/>
      <c r="F26" s="188"/>
      <c r="G26" s="214"/>
      <c r="H26" s="185"/>
    </row>
    <row r="27" spans="1:10" x14ac:dyDescent="0.25">
      <c r="A27" s="234" t="s">
        <v>48</v>
      </c>
      <c r="B27" s="230"/>
      <c r="C27" s="236">
        <f>C19</f>
        <v>34</v>
      </c>
      <c r="E27" s="212"/>
      <c r="F27" s="187"/>
      <c r="G27" s="187"/>
      <c r="H27" s="187"/>
      <c r="I27" s="187"/>
    </row>
    <row r="28" spans="1:10" x14ac:dyDescent="0.25">
      <c r="A28" s="185"/>
      <c r="B28" s="185"/>
      <c r="C28" s="185"/>
      <c r="D28" s="185"/>
      <c r="E28" s="185"/>
    </row>
    <row r="29" spans="1:10" x14ac:dyDescent="0.25">
      <c r="A29" s="186" t="s">
        <v>289</v>
      </c>
      <c r="B29" s="215"/>
      <c r="C29" s="215"/>
      <c r="D29" s="215"/>
      <c r="E29" s="216"/>
      <c r="F29" s="216"/>
      <c r="G29" s="217"/>
      <c r="J29" s="218"/>
    </row>
    <row r="30" spans="1:10" x14ac:dyDescent="0.25">
      <c r="B30" s="215"/>
      <c r="D30" s="215"/>
      <c r="E30" s="217"/>
      <c r="F30" s="217"/>
      <c r="G30" s="217"/>
    </row>
    <row r="31" spans="1:10" x14ac:dyDescent="0.25">
      <c r="B31" s="215"/>
      <c r="C31" s="215"/>
      <c r="D31" s="215"/>
      <c r="E31" s="219"/>
      <c r="F31" s="219"/>
      <c r="G31" s="219"/>
    </row>
    <row r="32" spans="1:10" x14ac:dyDescent="0.25">
      <c r="B32" s="215"/>
      <c r="C32" s="215"/>
      <c r="D32" s="215"/>
      <c r="E32" s="219"/>
      <c r="F32" s="219"/>
      <c r="G32" s="219"/>
    </row>
    <row r="33" spans="2:7" x14ac:dyDescent="0.25">
      <c r="B33" s="215"/>
      <c r="C33" s="215"/>
      <c r="D33" s="215"/>
      <c r="E33" s="220"/>
      <c r="F33" s="220"/>
      <c r="G33" s="220"/>
    </row>
    <row r="34" spans="2:7" x14ac:dyDescent="0.25">
      <c r="B34" s="215"/>
      <c r="C34" s="215"/>
      <c r="D34" s="215"/>
      <c r="E34" s="221"/>
      <c r="F34" s="221"/>
    </row>
    <row r="35" spans="2:7" x14ac:dyDescent="0.25">
      <c r="B35" s="215"/>
      <c r="C35" s="215"/>
      <c r="D35" s="215"/>
      <c r="E35" s="215"/>
      <c r="F35" s="215"/>
      <c r="G35" s="215"/>
    </row>
    <row r="36" spans="2:7" x14ac:dyDescent="0.25">
      <c r="B36" s="215"/>
      <c r="C36" s="215"/>
      <c r="D36" s="215"/>
      <c r="E36" s="215"/>
      <c r="F36" s="215"/>
      <c r="G36" s="215"/>
    </row>
    <row r="37" spans="2:7" x14ac:dyDescent="0.25">
      <c r="B37" s="215"/>
      <c r="C37" s="215"/>
      <c r="D37" s="215"/>
      <c r="E37" s="215"/>
      <c r="F37" s="215"/>
      <c r="G37" s="215"/>
    </row>
    <row r="38" spans="2:7" x14ac:dyDescent="0.25">
      <c r="B38" s="215"/>
      <c r="C38" s="215"/>
      <c r="D38" s="215"/>
      <c r="E38" s="215"/>
      <c r="F38" s="215"/>
      <c r="G38" s="215"/>
    </row>
  </sheetData>
  <sheetProtection sheet="1" objects="1" scenarios="1" selectLockedCells="1" selectUnlockedCells="1"/>
  <mergeCells count="3">
    <mergeCell ref="F12:G12"/>
    <mergeCell ref="A1:C1"/>
    <mergeCell ref="A2:C2"/>
  </mergeCells>
  <printOptions horizontalCentered="1" verticalCentered="1"/>
  <pageMargins left="0.97" right="1.64" top="0.38" bottom="4.67" header="0.28999999999999998" footer="0.5"/>
  <pageSetup orientation="portrait" horizontalDpi="4294967293" verticalDpi="144"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9"/>
  <sheetViews>
    <sheetView workbookViewId="0">
      <selection activeCell="E13" sqref="E13"/>
    </sheetView>
  </sheetViews>
  <sheetFormatPr defaultRowHeight="15" x14ac:dyDescent="0.25"/>
  <cols>
    <col min="1" max="1" width="53.28515625" style="410" bestFit="1" customWidth="1"/>
    <col min="2" max="2" width="20.140625" style="410" bestFit="1" customWidth="1"/>
    <col min="3" max="5" width="14.85546875" style="410" bestFit="1" customWidth="1"/>
    <col min="6" max="6" width="19" style="410" bestFit="1" customWidth="1"/>
    <col min="7" max="7" width="13.5703125" style="410" bestFit="1" customWidth="1"/>
    <col min="8" max="8" width="13.42578125" style="410" bestFit="1" customWidth="1"/>
    <col min="11" max="11" width="7.7109375" customWidth="1"/>
    <col min="12" max="12" width="11.28515625" bestFit="1" customWidth="1"/>
    <col min="13" max="13" width="8.7109375" customWidth="1"/>
    <col min="14" max="14" width="8.42578125" customWidth="1"/>
    <col min="15" max="15" width="16.140625" bestFit="1" customWidth="1"/>
    <col min="16" max="16" width="8.42578125" customWidth="1"/>
  </cols>
  <sheetData>
    <row r="1" spans="1:18" x14ac:dyDescent="0.25">
      <c r="A1" s="503" t="str">
        <f>+Cost!A1</f>
        <v>M/s SMJ Interiors</v>
      </c>
      <c r="B1" s="503"/>
      <c r="C1" s="503"/>
      <c r="D1" s="503"/>
      <c r="E1" s="503"/>
      <c r="F1" s="503"/>
      <c r="G1" s="503"/>
      <c r="H1" s="503"/>
    </row>
    <row r="2" spans="1:18" x14ac:dyDescent="0.25">
      <c r="A2" s="503" t="str">
        <f>+Cost!A2</f>
        <v>(UPVC Window Making Plant)</v>
      </c>
      <c r="B2" s="503"/>
      <c r="C2" s="503"/>
      <c r="D2" s="503"/>
      <c r="E2" s="503"/>
      <c r="F2" s="503"/>
      <c r="G2" s="503"/>
      <c r="H2" s="503"/>
      <c r="O2">
        <f>21.25*0.06</f>
        <v>1.2749999999999999</v>
      </c>
    </row>
    <row r="3" spans="1:18" ht="15.75" thickBot="1" x14ac:dyDescent="0.3">
      <c r="A3" s="392"/>
      <c r="B3" s="392"/>
      <c r="C3" s="392"/>
      <c r="D3" s="392"/>
      <c r="E3" s="392"/>
      <c r="F3" s="392"/>
      <c r="G3" s="392"/>
      <c r="H3" s="392"/>
    </row>
    <row r="4" spans="1:18" ht="19.5" thickBot="1" x14ac:dyDescent="0.35">
      <c r="A4" s="11" t="s">
        <v>21</v>
      </c>
      <c r="B4" s="393"/>
      <c r="C4" s="11"/>
      <c r="D4" s="11"/>
      <c r="E4" s="11"/>
      <c r="F4" s="11"/>
      <c r="G4" s="11"/>
      <c r="H4" s="394" t="s">
        <v>209</v>
      </c>
      <c r="K4" s="411" t="s">
        <v>279</v>
      </c>
      <c r="L4" s="412" t="s">
        <v>280</v>
      </c>
      <c r="M4" s="412" t="s">
        <v>281</v>
      </c>
      <c r="N4" s="412" t="s">
        <v>282</v>
      </c>
      <c r="O4" s="412" t="s">
        <v>283</v>
      </c>
      <c r="P4" s="413" t="s">
        <v>58</v>
      </c>
    </row>
    <row r="5" spans="1:18" ht="15.75" x14ac:dyDescent="0.25">
      <c r="A5" s="395"/>
      <c r="B5" s="395"/>
      <c r="C5" s="395"/>
      <c r="D5" s="395"/>
      <c r="E5" s="395"/>
      <c r="F5" s="395"/>
      <c r="G5" s="395"/>
      <c r="H5" s="432" t="s">
        <v>288</v>
      </c>
      <c r="K5" s="414">
        <v>0</v>
      </c>
      <c r="L5" s="415">
        <f>-PMT((1+$E$12)^(1/12)-1,$E$13,$E$9)</f>
        <v>0.46870096961079849</v>
      </c>
      <c r="M5" s="415" t="e">
        <f>-PPMT((1+$E$12)^(1/12)-1,K5,$E$13,$E$9)</f>
        <v>#NUM!</v>
      </c>
      <c r="N5" s="415" t="e">
        <f>-IPMT((1+$E$12)^(1/12)-1,K5,$E$13,$E$9)</f>
        <v>#NUM!</v>
      </c>
      <c r="O5" s="106"/>
      <c r="P5" s="416">
        <f>+E9+1.16</f>
        <v>21.66</v>
      </c>
      <c r="R5">
        <f>21.25*6/12*0.11</f>
        <v>1.16875</v>
      </c>
    </row>
    <row r="6" spans="1:18" ht="15.75" x14ac:dyDescent="0.25">
      <c r="A6" s="396"/>
      <c r="B6" s="397"/>
      <c r="C6" s="397"/>
      <c r="D6" s="397"/>
      <c r="E6" s="397"/>
      <c r="F6" s="397"/>
      <c r="G6" s="397"/>
      <c r="H6" s="398"/>
      <c r="K6" s="414">
        <v>1</v>
      </c>
      <c r="L6" s="415">
        <f t="shared" ref="L6:L69" si="0">-PMT((1+$E$12)^(1/12)-1,$E$13,$E$9)</f>
        <v>0.46870096961079849</v>
      </c>
      <c r="M6" s="415">
        <f>-PPMT((1+$E$12)^(1/12)-1,K6,$E$13,$E$9)</f>
        <v>0.30523109081827132</v>
      </c>
      <c r="N6" s="415">
        <f t="shared" ref="N6:N69" si="1">-IPMT((1+$E$12)^(1/12)-1,K6,$E$13,$E$9)</f>
        <v>0.16346987879252717</v>
      </c>
      <c r="O6" s="415">
        <f>SUM(M6:N6)</f>
        <v>0.46870096961079849</v>
      </c>
      <c r="P6" s="417">
        <f>+P5+N6-O6</f>
        <v>21.354768909181729</v>
      </c>
    </row>
    <row r="7" spans="1:18" ht="15.75" x14ac:dyDescent="0.25">
      <c r="A7" s="422" t="s">
        <v>22</v>
      </c>
      <c r="B7" s="423"/>
      <c r="C7" s="423" t="s">
        <v>23</v>
      </c>
      <c r="D7" s="423" t="s">
        <v>24</v>
      </c>
      <c r="E7" s="423">
        <f>+Cost!C24</f>
        <v>24.85</v>
      </c>
      <c r="F7" s="423"/>
      <c r="G7" s="399"/>
      <c r="H7" s="400"/>
      <c r="K7" s="414">
        <v>2</v>
      </c>
      <c r="L7" s="415">
        <f t="shared" si="0"/>
        <v>0.46870096961079849</v>
      </c>
      <c r="M7" s="415">
        <f t="shared" ref="M7:M70" si="2">-PPMT((1+$E$12)^(1/12)-1,K7,$E$13,$E$9)</f>
        <v>0.30766504639972364</v>
      </c>
      <c r="N7" s="415">
        <f t="shared" si="1"/>
        <v>0.16103592321107482</v>
      </c>
      <c r="O7" s="415">
        <f t="shared" ref="O7:O70" si="3">SUM(M7:N7)</f>
        <v>0.46870096961079843</v>
      </c>
      <c r="P7" s="417">
        <f t="shared" ref="P7:P70" si="4">+P6+N7-O7</f>
        <v>21.047103862782006</v>
      </c>
    </row>
    <row r="8" spans="1:18" ht="15.75" x14ac:dyDescent="0.25">
      <c r="A8" s="422" t="s">
        <v>25</v>
      </c>
      <c r="B8" s="423"/>
      <c r="C8" s="423" t="s">
        <v>23</v>
      </c>
      <c r="D8" s="423" t="s">
        <v>24</v>
      </c>
      <c r="E8" s="449">
        <f>+(Cost!C14+Cost!C15+Cost!C16)*0.15</f>
        <v>4.3499999999999996</v>
      </c>
      <c r="F8" s="423"/>
      <c r="G8" s="399"/>
      <c r="H8" s="400"/>
      <c r="K8" s="414">
        <v>3</v>
      </c>
      <c r="L8" s="415">
        <f t="shared" si="0"/>
        <v>0.46870096961079849</v>
      </c>
      <c r="M8" s="415">
        <f t="shared" si="2"/>
        <v>0.31011841068478024</v>
      </c>
      <c r="N8" s="415">
        <f t="shared" si="1"/>
        <v>0.15858255892601819</v>
      </c>
      <c r="O8" s="415">
        <f t="shared" si="3"/>
        <v>0.46870096961079843</v>
      </c>
      <c r="P8" s="417">
        <f t="shared" si="4"/>
        <v>20.736985452097226</v>
      </c>
    </row>
    <row r="9" spans="1:18" ht="15.75" x14ac:dyDescent="0.25">
      <c r="A9" s="422" t="s">
        <v>26</v>
      </c>
      <c r="B9" s="423"/>
      <c r="C9" s="423" t="s">
        <v>23</v>
      </c>
      <c r="D9" s="423" t="s">
        <v>24</v>
      </c>
      <c r="E9" s="425">
        <f>+E7-E8</f>
        <v>20.5</v>
      </c>
      <c r="F9" s="423"/>
      <c r="G9" s="401"/>
      <c r="H9" s="400"/>
      <c r="K9" s="414">
        <v>4</v>
      </c>
      <c r="L9" s="415">
        <f t="shared" si="0"/>
        <v>0.46870096961079849</v>
      </c>
      <c r="M9" s="415">
        <f t="shared" si="2"/>
        <v>0.31259133844116921</v>
      </c>
      <c r="N9" s="415">
        <f t="shared" si="1"/>
        <v>0.15610963116962931</v>
      </c>
      <c r="O9" s="415">
        <f t="shared" si="3"/>
        <v>0.46870096961079855</v>
      </c>
      <c r="P9" s="417">
        <f t="shared" si="4"/>
        <v>20.42439411365606</v>
      </c>
    </row>
    <row r="10" spans="1:18" ht="15.75" x14ac:dyDescent="0.25">
      <c r="A10" s="422" t="s">
        <v>27</v>
      </c>
      <c r="B10" s="423"/>
      <c r="C10" s="423" t="s">
        <v>23</v>
      </c>
      <c r="D10" s="423"/>
      <c r="E10" s="423">
        <v>5</v>
      </c>
      <c r="F10" s="423" t="s">
        <v>28</v>
      </c>
      <c r="G10" s="399"/>
      <c r="H10" s="400"/>
      <c r="K10" s="414">
        <v>5</v>
      </c>
      <c r="L10" s="415">
        <f t="shared" si="0"/>
        <v>0.46870096961079849</v>
      </c>
      <c r="M10" s="415">
        <f t="shared" si="2"/>
        <v>0.31508398567075802</v>
      </c>
      <c r="N10" s="415">
        <f t="shared" si="1"/>
        <v>0.15361698394004045</v>
      </c>
      <c r="O10" s="415">
        <f t="shared" si="3"/>
        <v>0.46870096961079843</v>
      </c>
      <c r="P10" s="417">
        <f t="shared" si="4"/>
        <v>20.109310127985303</v>
      </c>
    </row>
    <row r="11" spans="1:18" ht="15.75" x14ac:dyDescent="0.25">
      <c r="A11" s="422" t="s">
        <v>29</v>
      </c>
      <c r="B11" s="423"/>
      <c r="C11" s="423" t="s">
        <v>23</v>
      </c>
      <c r="D11" s="423"/>
      <c r="E11" s="423">
        <v>0.5</v>
      </c>
      <c r="F11" s="423" t="s">
        <v>30</v>
      </c>
      <c r="G11" s="401"/>
      <c r="H11" s="400"/>
      <c r="K11" s="414">
        <v>6</v>
      </c>
      <c r="L11" s="415">
        <f t="shared" si="0"/>
        <v>0.46870096961079849</v>
      </c>
      <c r="M11" s="415">
        <f t="shared" si="2"/>
        <v>0.3175965096193954</v>
      </c>
      <c r="N11" s="415">
        <f t="shared" si="1"/>
        <v>0.15110445999140315</v>
      </c>
      <c r="O11" s="415">
        <f t="shared" si="3"/>
        <v>0.46870096961079855</v>
      </c>
      <c r="P11" s="417">
        <f t="shared" si="4"/>
        <v>19.791713618365907</v>
      </c>
      <c r="Q11" s="421">
        <f>SUM(M6:M11)</f>
        <v>1.8682863816340978</v>
      </c>
      <c r="R11" s="421">
        <f>SUM(N6:N11)</f>
        <v>0.94391943603069306</v>
      </c>
    </row>
    <row r="12" spans="1:18" ht="15.75" x14ac:dyDescent="0.25">
      <c r="A12" s="422" t="s">
        <v>230</v>
      </c>
      <c r="B12" s="423"/>
      <c r="C12" s="423"/>
      <c r="D12" s="423"/>
      <c r="E12" s="424">
        <v>0.1</v>
      </c>
      <c r="F12" s="423"/>
      <c r="G12" s="399"/>
      <c r="H12" s="400"/>
      <c r="K12" s="414">
        <v>7</v>
      </c>
      <c r="L12" s="415">
        <f t="shared" si="0"/>
        <v>0.46870096961079849</v>
      </c>
      <c r="M12" s="415">
        <f t="shared" si="2"/>
        <v>0.32012906878683012</v>
      </c>
      <c r="N12" s="415">
        <f t="shared" si="1"/>
        <v>0.14857190082396837</v>
      </c>
      <c r="O12" s="415">
        <f t="shared" si="3"/>
        <v>0.46870096961079849</v>
      </c>
      <c r="P12" s="417">
        <f t="shared" si="4"/>
        <v>19.471584549579077</v>
      </c>
    </row>
    <row r="13" spans="1:18" ht="15.75" x14ac:dyDescent="0.25">
      <c r="A13" s="422" t="s">
        <v>31</v>
      </c>
      <c r="B13" s="423"/>
      <c r="C13" s="423" t="s">
        <v>23</v>
      </c>
      <c r="D13" s="423"/>
      <c r="E13" s="423">
        <v>54</v>
      </c>
      <c r="F13" s="423" t="s">
        <v>32</v>
      </c>
      <c r="G13" s="399"/>
      <c r="H13" s="400"/>
      <c r="K13" s="414">
        <v>8</v>
      </c>
      <c r="L13" s="415">
        <f t="shared" si="0"/>
        <v>0.46870096961079849</v>
      </c>
      <c r="M13" s="415">
        <f t="shared" si="2"/>
        <v>0.32268182293671044</v>
      </c>
      <c r="N13" s="415">
        <f t="shared" si="1"/>
        <v>0.14601914667408797</v>
      </c>
      <c r="O13" s="415">
        <f t="shared" si="3"/>
        <v>0.46870096961079843</v>
      </c>
      <c r="P13" s="417">
        <f t="shared" si="4"/>
        <v>19.148902726642369</v>
      </c>
    </row>
    <row r="14" spans="1:18" ht="15.75" x14ac:dyDescent="0.25">
      <c r="A14" s="422" t="s">
        <v>33</v>
      </c>
      <c r="B14" s="423"/>
      <c r="C14" s="423" t="s">
        <v>23</v>
      </c>
      <c r="D14" s="423" t="s">
        <v>24</v>
      </c>
      <c r="E14" s="425">
        <f>+E15*12</f>
        <v>5.6244116353295821</v>
      </c>
      <c r="F14" s="423"/>
      <c r="G14" s="399"/>
      <c r="H14" s="400"/>
      <c r="K14" s="414">
        <v>9</v>
      </c>
      <c r="L14" s="415">
        <f t="shared" si="0"/>
        <v>0.46870096961079849</v>
      </c>
      <c r="M14" s="415">
        <f t="shared" si="2"/>
        <v>0.32525493310666248</v>
      </c>
      <c r="N14" s="415">
        <f t="shared" si="1"/>
        <v>0.14344603650413601</v>
      </c>
      <c r="O14" s="415">
        <f t="shared" si="3"/>
        <v>0.46870096961079849</v>
      </c>
      <c r="P14" s="417">
        <f t="shared" si="4"/>
        <v>18.823647793535709</v>
      </c>
    </row>
    <row r="15" spans="1:18" ht="15.75" x14ac:dyDescent="0.25">
      <c r="A15" s="422" t="s">
        <v>34</v>
      </c>
      <c r="B15" s="423"/>
      <c r="C15" s="423" t="s">
        <v>23</v>
      </c>
      <c r="D15" s="423" t="s">
        <v>24</v>
      </c>
      <c r="E15" s="425">
        <f>+L5</f>
        <v>0.46870096961079849</v>
      </c>
      <c r="F15" s="423"/>
      <c r="G15" s="399"/>
      <c r="H15" s="400"/>
      <c r="K15" s="414">
        <v>10</v>
      </c>
      <c r="L15" s="415">
        <f t="shared" si="0"/>
        <v>0.46870096961079849</v>
      </c>
      <c r="M15" s="415">
        <f t="shared" si="2"/>
        <v>0.32784856161844872</v>
      </c>
      <c r="N15" s="415">
        <f t="shared" si="1"/>
        <v>0.1408524079923498</v>
      </c>
      <c r="O15" s="415">
        <f t="shared" si="3"/>
        <v>0.46870096961079855</v>
      </c>
      <c r="P15" s="417">
        <f t="shared" si="4"/>
        <v>18.49579923191726</v>
      </c>
    </row>
    <row r="16" spans="1:18" ht="15.75" x14ac:dyDescent="0.25">
      <c r="A16" s="402"/>
      <c r="B16" s="403"/>
      <c r="C16" s="403"/>
      <c r="D16" s="403"/>
      <c r="E16" s="403"/>
      <c r="F16" s="403"/>
      <c r="G16" s="403"/>
      <c r="H16" s="404"/>
      <c r="K16" s="414">
        <v>11</v>
      </c>
      <c r="L16" s="415">
        <f t="shared" si="0"/>
        <v>0.46870096961079849</v>
      </c>
      <c r="M16" s="415">
        <f t="shared" si="2"/>
        <v>0.33046287208820829</v>
      </c>
      <c r="N16" s="415">
        <f t="shared" si="1"/>
        <v>0.13823809752259017</v>
      </c>
      <c r="O16" s="415">
        <f t="shared" si="3"/>
        <v>0.46870096961079843</v>
      </c>
      <c r="P16" s="417">
        <f t="shared" si="4"/>
        <v>18.165336359829052</v>
      </c>
    </row>
    <row r="17" spans="1:18" ht="16.5" thickBot="1" x14ac:dyDescent="0.3">
      <c r="A17" s="405"/>
      <c r="B17" s="395"/>
      <c r="C17" s="395"/>
      <c r="D17" s="395"/>
      <c r="E17" s="395"/>
      <c r="F17" s="395"/>
      <c r="G17" s="395"/>
      <c r="H17" s="395"/>
      <c r="K17" s="414">
        <v>12</v>
      </c>
      <c r="L17" s="415">
        <f t="shared" si="0"/>
        <v>0.46870096961079849</v>
      </c>
      <c r="M17" s="415">
        <f t="shared" si="2"/>
        <v>0.33309802943677852</v>
      </c>
      <c r="N17" s="415">
        <f t="shared" si="1"/>
        <v>0.13560294017401989</v>
      </c>
      <c r="O17" s="415">
        <f t="shared" si="3"/>
        <v>0.46870096961079843</v>
      </c>
      <c r="P17" s="417">
        <f t="shared" si="4"/>
        <v>17.832238330392276</v>
      </c>
      <c r="Q17" s="421">
        <f>SUM(M6:M17)</f>
        <v>3.8277616696077361</v>
      </c>
      <c r="R17" s="421">
        <f>SUM(N6:N17)</f>
        <v>1.7966499657218453</v>
      </c>
    </row>
    <row r="18" spans="1:18" ht="16.5" thickBot="1" x14ac:dyDescent="0.3">
      <c r="A18" s="406" t="s">
        <v>2</v>
      </c>
      <c r="B18" s="500" t="s">
        <v>35</v>
      </c>
      <c r="C18" s="501"/>
      <c r="D18" s="501"/>
      <c r="E18" s="501"/>
      <c r="F18" s="501"/>
      <c r="G18" s="501"/>
      <c r="H18" s="502"/>
      <c r="K18" s="414">
        <v>13</v>
      </c>
      <c r="L18" s="415">
        <f t="shared" si="0"/>
        <v>0.46870096961079849</v>
      </c>
      <c r="M18" s="415">
        <f t="shared" si="2"/>
        <v>0.33575419990009853</v>
      </c>
      <c r="N18" s="415">
        <f t="shared" si="1"/>
        <v>0.13294676971069994</v>
      </c>
      <c r="O18" s="415">
        <f t="shared" si="3"/>
        <v>0.46870096961079843</v>
      </c>
      <c r="P18" s="417">
        <f t="shared" si="4"/>
        <v>17.496484130492178</v>
      </c>
    </row>
    <row r="19" spans="1:18" ht="16.5" thickBot="1" x14ac:dyDescent="0.3">
      <c r="A19" s="407"/>
      <c r="B19" s="408" t="s">
        <v>4</v>
      </c>
      <c r="C19" s="408" t="s">
        <v>5</v>
      </c>
      <c r="D19" s="408" t="s">
        <v>6</v>
      </c>
      <c r="E19" s="408" t="s">
        <v>7</v>
      </c>
      <c r="F19" s="408" t="s">
        <v>8</v>
      </c>
      <c r="G19" s="408" t="s">
        <v>9</v>
      </c>
      <c r="H19" s="409" t="s">
        <v>10</v>
      </c>
      <c r="K19" s="414">
        <v>14</v>
      </c>
      <c r="L19" s="415">
        <f t="shared" si="0"/>
        <v>0.46870096961079849</v>
      </c>
      <c r="M19" s="415">
        <f t="shared" si="2"/>
        <v>0.33843155103969619</v>
      </c>
      <c r="N19" s="415">
        <f t="shared" si="1"/>
        <v>0.1302694185711023</v>
      </c>
      <c r="O19" s="415">
        <f t="shared" si="3"/>
        <v>0.46870096961079849</v>
      </c>
      <c r="P19" s="417">
        <f t="shared" si="4"/>
        <v>17.158052579452484</v>
      </c>
    </row>
    <row r="20" spans="1:18" ht="15.75" x14ac:dyDescent="0.25">
      <c r="A20" s="113" t="s">
        <v>286</v>
      </c>
      <c r="B20" s="428">
        <f>+E9</f>
        <v>20.5</v>
      </c>
      <c r="C20" s="430">
        <f t="shared" ref="C20:H20" si="5">+B24</f>
        <v>18.631713618365904</v>
      </c>
      <c r="D20" s="428">
        <f t="shared" si="5"/>
        <v>14.617123310594756</v>
      </c>
      <c r="E20" s="430">
        <f t="shared" si="5"/>
        <v>10.201073972046494</v>
      </c>
      <c r="F20" s="428">
        <f t="shared" si="5"/>
        <v>5.3434196996434036</v>
      </c>
      <c r="G20" s="430">
        <v>0</v>
      </c>
      <c r="H20" s="428">
        <f t="shared" si="5"/>
        <v>0</v>
      </c>
      <c r="K20" s="414">
        <v>15</v>
      </c>
      <c r="L20" s="415">
        <f t="shared" si="0"/>
        <v>0.46870096961079849</v>
      </c>
      <c r="M20" s="415">
        <f t="shared" si="2"/>
        <v>0.3411302517532584</v>
      </c>
      <c r="N20" s="415">
        <f t="shared" si="1"/>
        <v>0.12757071785754007</v>
      </c>
      <c r="O20" s="415">
        <f t="shared" si="3"/>
        <v>0.46870096961079843</v>
      </c>
      <c r="P20" s="417">
        <f t="shared" si="4"/>
        <v>16.816922327699228</v>
      </c>
    </row>
    <row r="21" spans="1:18" ht="15.75" x14ac:dyDescent="0.25">
      <c r="A21" s="83" t="s">
        <v>284</v>
      </c>
      <c r="B21" s="244">
        <f>++R11+1.16</f>
        <v>2.1039194360306928</v>
      </c>
      <c r="C21" s="427">
        <f>+R23</f>
        <v>1.609821327558435</v>
      </c>
      <c r="D21" s="244">
        <f>+R35</f>
        <v>1.2083622967813188</v>
      </c>
      <c r="E21" s="427">
        <f>+R47</f>
        <v>0.76675736292649133</v>
      </c>
      <c r="F21" s="244">
        <f>+R59</f>
        <v>0.2809919356861808</v>
      </c>
      <c r="G21" s="427">
        <v>0</v>
      </c>
      <c r="H21" s="244">
        <v>0</v>
      </c>
      <c r="K21" s="414">
        <v>16</v>
      </c>
      <c r="L21" s="415">
        <f t="shared" si="0"/>
        <v>0.46870096961079849</v>
      </c>
      <c r="M21" s="415">
        <f t="shared" si="2"/>
        <v>0.34385047228528615</v>
      </c>
      <c r="N21" s="415">
        <f t="shared" si="1"/>
        <v>0.12485049732551232</v>
      </c>
      <c r="O21" s="415">
        <f t="shared" si="3"/>
        <v>0.46870096961079843</v>
      </c>
      <c r="P21" s="417">
        <f t="shared" si="4"/>
        <v>16.473071855413941</v>
      </c>
    </row>
    <row r="22" spans="1:18" ht="15.75" x14ac:dyDescent="0.25">
      <c r="A22" s="293" t="s">
        <v>287</v>
      </c>
      <c r="B22" s="244">
        <f>+Q11</f>
        <v>1.8682863816340978</v>
      </c>
      <c r="C22" s="427">
        <f>+Q23</f>
        <v>4.0145903077711464</v>
      </c>
      <c r="D22" s="244">
        <f>+Q35</f>
        <v>4.4160493385482624</v>
      </c>
      <c r="E22" s="427">
        <f>+Q47</f>
        <v>4.8576542724030904</v>
      </c>
      <c r="F22" s="244">
        <f>+Q59</f>
        <v>5.3434196996434009</v>
      </c>
      <c r="G22" s="427">
        <v>0</v>
      </c>
      <c r="H22" s="244">
        <v>0</v>
      </c>
      <c r="K22" s="414">
        <v>17</v>
      </c>
      <c r="L22" s="415">
        <f t="shared" si="0"/>
        <v>0.46870096961079849</v>
      </c>
      <c r="M22" s="415">
        <f t="shared" si="2"/>
        <v>0.34659238423783395</v>
      </c>
      <c r="N22" s="415">
        <f t="shared" si="1"/>
        <v>0.12210858537296454</v>
      </c>
      <c r="O22" s="415">
        <f t="shared" si="3"/>
        <v>0.46870096961079849</v>
      </c>
      <c r="P22" s="417">
        <f t="shared" si="4"/>
        <v>16.126479471176108</v>
      </c>
    </row>
    <row r="23" spans="1:18" ht="18" x14ac:dyDescent="0.4">
      <c r="A23" s="431" t="s">
        <v>283</v>
      </c>
      <c r="B23" s="244">
        <f>SUM(B21:B22)</f>
        <v>3.9722058176647908</v>
      </c>
      <c r="C23" s="244">
        <f t="shared" ref="C23:G23" si="6">SUM(C21:C22)</f>
        <v>5.6244116353295812</v>
      </c>
      <c r="D23" s="244">
        <f t="shared" si="6"/>
        <v>5.6244116353295812</v>
      </c>
      <c r="E23" s="244">
        <f t="shared" si="6"/>
        <v>5.6244116353295821</v>
      </c>
      <c r="F23" s="244">
        <f t="shared" si="6"/>
        <v>5.6244116353295821</v>
      </c>
      <c r="G23" s="244">
        <f t="shared" si="6"/>
        <v>0</v>
      </c>
      <c r="H23" s="244">
        <v>0</v>
      </c>
      <c r="K23" s="414">
        <v>18</v>
      </c>
      <c r="L23" s="415">
        <f t="shared" si="0"/>
        <v>0.46870096961079849</v>
      </c>
      <c r="M23" s="415">
        <f t="shared" si="2"/>
        <v>0.34935616058133501</v>
      </c>
      <c r="N23" s="415">
        <f t="shared" si="1"/>
        <v>0.11934480902946347</v>
      </c>
      <c r="O23" s="415">
        <f t="shared" si="3"/>
        <v>0.46870096961079849</v>
      </c>
      <c r="P23" s="417">
        <f t="shared" si="4"/>
        <v>15.777123310594773</v>
      </c>
      <c r="Q23" s="421">
        <f>SUM(M12:M23)</f>
        <v>4.0145903077711464</v>
      </c>
      <c r="R23" s="421">
        <f>SUM(N12:N23)</f>
        <v>1.609821327558435</v>
      </c>
    </row>
    <row r="24" spans="1:18" ht="16.5" thickBot="1" x14ac:dyDescent="0.3">
      <c r="A24" s="70" t="s">
        <v>285</v>
      </c>
      <c r="B24" s="429">
        <f>+B20-B22</f>
        <v>18.631713618365904</v>
      </c>
      <c r="C24" s="429">
        <f t="shared" ref="C24:H24" si="7">+C20-C22</f>
        <v>14.617123310594756</v>
      </c>
      <c r="D24" s="429">
        <f t="shared" si="7"/>
        <v>10.201073972046494</v>
      </c>
      <c r="E24" s="429">
        <f t="shared" si="7"/>
        <v>5.3434196996434036</v>
      </c>
      <c r="F24" s="429">
        <f t="shared" si="7"/>
        <v>0</v>
      </c>
      <c r="G24" s="429">
        <v>0</v>
      </c>
      <c r="H24" s="429">
        <f t="shared" si="7"/>
        <v>0</v>
      </c>
      <c r="K24" s="414">
        <v>19</v>
      </c>
      <c r="L24" s="415">
        <f t="shared" si="0"/>
        <v>0.46870096961079849</v>
      </c>
      <c r="M24" s="415">
        <f t="shared" si="2"/>
        <v>0.3521419756655132</v>
      </c>
      <c r="N24" s="415">
        <f t="shared" si="1"/>
        <v>0.11655899394528525</v>
      </c>
      <c r="O24" s="415">
        <f t="shared" si="3"/>
        <v>0.46870096961079843</v>
      </c>
      <c r="P24" s="417">
        <f t="shared" si="4"/>
        <v>15.424981334929258</v>
      </c>
    </row>
    <row r="25" spans="1:18" x14ac:dyDescent="0.25">
      <c r="K25" s="414">
        <v>20</v>
      </c>
      <c r="L25" s="415">
        <f t="shared" si="0"/>
        <v>0.46870096961079849</v>
      </c>
      <c r="M25" s="415">
        <f t="shared" si="2"/>
        <v>0.35495000523038162</v>
      </c>
      <c r="N25" s="415">
        <f t="shared" si="1"/>
        <v>0.11375096438041685</v>
      </c>
      <c r="O25" s="415">
        <f t="shared" si="3"/>
        <v>0.46870096961079843</v>
      </c>
      <c r="P25" s="417">
        <f t="shared" si="4"/>
        <v>15.070031329698876</v>
      </c>
    </row>
    <row r="26" spans="1:18" x14ac:dyDescent="0.25">
      <c r="K26" s="414">
        <v>21</v>
      </c>
      <c r="L26" s="415">
        <f t="shared" si="0"/>
        <v>0.46870096961079849</v>
      </c>
      <c r="M26" s="415">
        <f t="shared" si="2"/>
        <v>0.35778042641732882</v>
      </c>
      <c r="N26" s="415">
        <f t="shared" si="1"/>
        <v>0.11092054319346964</v>
      </c>
      <c r="O26" s="415">
        <f t="shared" si="3"/>
        <v>0.46870096961079843</v>
      </c>
      <c r="P26" s="417">
        <f t="shared" si="4"/>
        <v>14.712250903281546</v>
      </c>
    </row>
    <row r="27" spans="1:18" x14ac:dyDescent="0.25">
      <c r="K27" s="414">
        <v>22</v>
      </c>
      <c r="L27" s="415">
        <f t="shared" si="0"/>
        <v>0.46870096961079849</v>
      </c>
      <c r="M27" s="415">
        <f t="shared" si="2"/>
        <v>0.36063341778029367</v>
      </c>
      <c r="N27" s="415">
        <f t="shared" si="1"/>
        <v>0.10806755183050482</v>
      </c>
      <c r="O27" s="415">
        <f t="shared" si="3"/>
        <v>0.46870096961079849</v>
      </c>
      <c r="P27" s="417">
        <f t="shared" si="4"/>
        <v>14.351617485501253</v>
      </c>
    </row>
    <row r="28" spans="1:18" x14ac:dyDescent="0.25">
      <c r="K28" s="414">
        <v>23</v>
      </c>
      <c r="L28" s="415">
        <f t="shared" si="0"/>
        <v>0.46870096961079849</v>
      </c>
      <c r="M28" s="415">
        <f t="shared" si="2"/>
        <v>0.36350915929702921</v>
      </c>
      <c r="N28" s="415">
        <f t="shared" si="1"/>
        <v>0.10519181031376923</v>
      </c>
      <c r="O28" s="415">
        <f t="shared" si="3"/>
        <v>0.46870096961079843</v>
      </c>
      <c r="P28" s="417">
        <f t="shared" si="4"/>
        <v>13.988108326204223</v>
      </c>
    </row>
    <row r="29" spans="1:18" x14ac:dyDescent="0.25">
      <c r="K29" s="414">
        <v>24</v>
      </c>
      <c r="L29" s="415">
        <f t="shared" si="0"/>
        <v>0.46870096961079849</v>
      </c>
      <c r="M29" s="415">
        <f t="shared" si="2"/>
        <v>0.36640783238045649</v>
      </c>
      <c r="N29" s="415">
        <f t="shared" si="1"/>
        <v>0.10229313723034196</v>
      </c>
      <c r="O29" s="415">
        <f t="shared" si="3"/>
        <v>0.46870096961079843</v>
      </c>
      <c r="P29" s="417">
        <f t="shared" si="4"/>
        <v>13.621700493823766</v>
      </c>
      <c r="Q29" s="421">
        <f>SUM(M18:M29)</f>
        <v>4.2105378365685118</v>
      </c>
      <c r="R29" s="421">
        <f>SUM(N18:N29)</f>
        <v>1.4138737987610703</v>
      </c>
    </row>
    <row r="30" spans="1:18" x14ac:dyDescent="0.25">
      <c r="K30" s="414">
        <v>25</v>
      </c>
      <c r="L30" s="415">
        <f t="shared" si="0"/>
        <v>0.46870096961079849</v>
      </c>
      <c r="M30" s="415">
        <f t="shared" si="2"/>
        <v>0.36932961989010848</v>
      </c>
      <c r="N30" s="415">
        <f t="shared" si="1"/>
        <v>9.9371349720689978E-2</v>
      </c>
      <c r="O30" s="415">
        <f t="shared" si="3"/>
        <v>0.46870096961079843</v>
      </c>
      <c r="P30" s="417">
        <f t="shared" si="4"/>
        <v>13.252370873933657</v>
      </c>
    </row>
    <row r="31" spans="1:18" x14ac:dyDescent="0.25">
      <c r="K31" s="414">
        <v>26</v>
      </c>
      <c r="L31" s="415">
        <f t="shared" si="0"/>
        <v>0.46870096961079849</v>
      </c>
      <c r="M31" s="415">
        <f t="shared" si="2"/>
        <v>0.37227470614366581</v>
      </c>
      <c r="N31" s="415">
        <f t="shared" si="1"/>
        <v>9.6426263467132609E-2</v>
      </c>
      <c r="O31" s="415">
        <f t="shared" si="3"/>
        <v>0.46870096961079843</v>
      </c>
      <c r="P31" s="417">
        <f t="shared" si="4"/>
        <v>12.88009616778999</v>
      </c>
    </row>
    <row r="32" spans="1:18" x14ac:dyDescent="0.25">
      <c r="K32" s="414">
        <v>27</v>
      </c>
      <c r="L32" s="415">
        <f t="shared" si="0"/>
        <v>0.46870096961079849</v>
      </c>
      <c r="M32" s="415">
        <f t="shared" si="2"/>
        <v>0.37524327692858434</v>
      </c>
      <c r="N32" s="415">
        <f t="shared" si="1"/>
        <v>9.3457692682214114E-2</v>
      </c>
      <c r="O32" s="415">
        <f t="shared" si="3"/>
        <v>0.46870096961079843</v>
      </c>
      <c r="P32" s="417">
        <f t="shared" si="4"/>
        <v>12.504852890861406</v>
      </c>
    </row>
    <row r="33" spans="11:18" x14ac:dyDescent="0.25">
      <c r="K33" s="414">
        <v>28</v>
      </c>
      <c r="L33" s="415">
        <f t="shared" si="0"/>
        <v>0.46870096961079849</v>
      </c>
      <c r="M33" s="415">
        <f t="shared" si="2"/>
        <v>0.37823551951381484</v>
      </c>
      <c r="N33" s="415">
        <f t="shared" si="1"/>
        <v>9.0465450096983577E-2</v>
      </c>
      <c r="O33" s="415">
        <f t="shared" si="3"/>
        <v>0.46870096961079843</v>
      </c>
      <c r="P33" s="417">
        <f t="shared" si="4"/>
        <v>12.12661737134759</v>
      </c>
    </row>
    <row r="34" spans="11:18" x14ac:dyDescent="0.25">
      <c r="K34" s="414">
        <v>29</v>
      </c>
      <c r="L34" s="415">
        <f t="shared" si="0"/>
        <v>0.46870096961079849</v>
      </c>
      <c r="M34" s="415">
        <f t="shared" si="2"/>
        <v>0.38125162266161744</v>
      </c>
      <c r="N34" s="415">
        <f t="shared" si="1"/>
        <v>8.7449346949181037E-2</v>
      </c>
      <c r="O34" s="415">
        <f t="shared" si="3"/>
        <v>0.46870096961079849</v>
      </c>
      <c r="P34" s="417">
        <f t="shared" si="4"/>
        <v>11.745365748685973</v>
      </c>
    </row>
    <row r="35" spans="11:18" x14ac:dyDescent="0.25">
      <c r="K35" s="414">
        <v>30</v>
      </c>
      <c r="L35" s="415">
        <f t="shared" si="0"/>
        <v>0.46870096961079849</v>
      </c>
      <c r="M35" s="415">
        <f t="shared" si="2"/>
        <v>0.38429177663946862</v>
      </c>
      <c r="N35" s="415">
        <f t="shared" si="1"/>
        <v>8.4409192971329872E-2</v>
      </c>
      <c r="O35" s="415">
        <f t="shared" si="3"/>
        <v>0.46870096961079849</v>
      </c>
      <c r="P35" s="417">
        <f t="shared" si="4"/>
        <v>11.361073972046505</v>
      </c>
      <c r="Q35" s="421">
        <f>SUM(M24:M35)</f>
        <v>4.4160493385482624</v>
      </c>
      <c r="R35" s="421">
        <f>SUM(N24:N35)</f>
        <v>1.2083622967813188</v>
      </c>
    </row>
    <row r="36" spans="11:18" x14ac:dyDescent="0.25">
      <c r="K36" s="414">
        <v>31</v>
      </c>
      <c r="L36" s="415">
        <f t="shared" si="0"/>
        <v>0.46870096961079849</v>
      </c>
      <c r="M36" s="415">
        <f t="shared" si="2"/>
        <v>0.38735617323206467</v>
      </c>
      <c r="N36" s="415">
        <f t="shared" si="1"/>
        <v>8.1344796378733833E-2</v>
      </c>
      <c r="O36" s="415">
        <f t="shared" si="3"/>
        <v>0.46870096961079849</v>
      </c>
      <c r="P36" s="417">
        <f t="shared" si="4"/>
        <v>10.973717798814439</v>
      </c>
    </row>
    <row r="37" spans="11:18" x14ac:dyDescent="0.25">
      <c r="K37" s="414">
        <v>32</v>
      </c>
      <c r="L37" s="415">
        <f t="shared" si="0"/>
        <v>0.46870096961079849</v>
      </c>
      <c r="M37" s="415">
        <f t="shared" si="2"/>
        <v>0.39044500575341984</v>
      </c>
      <c r="N37" s="415">
        <f t="shared" si="1"/>
        <v>7.8255963857378583E-2</v>
      </c>
      <c r="O37" s="415">
        <f t="shared" si="3"/>
        <v>0.46870096961079843</v>
      </c>
      <c r="P37" s="417">
        <f t="shared" si="4"/>
        <v>10.583272793061019</v>
      </c>
    </row>
    <row r="38" spans="11:18" x14ac:dyDescent="0.25">
      <c r="K38" s="414">
        <v>33</v>
      </c>
      <c r="L38" s="415">
        <f t="shared" si="0"/>
        <v>0.46870096961079849</v>
      </c>
      <c r="M38" s="415">
        <f t="shared" si="2"/>
        <v>0.39355846905906178</v>
      </c>
      <c r="N38" s="415">
        <f t="shared" si="1"/>
        <v>7.5142500551736657E-2</v>
      </c>
      <c r="O38" s="415">
        <f t="shared" si="3"/>
        <v>0.46870096961079843</v>
      </c>
      <c r="P38" s="417">
        <f t="shared" si="4"/>
        <v>10.189714324001956</v>
      </c>
    </row>
    <row r="39" spans="11:18" x14ac:dyDescent="0.25">
      <c r="K39" s="414">
        <v>34</v>
      </c>
      <c r="L39" s="415">
        <f t="shared" si="0"/>
        <v>0.46870096961079849</v>
      </c>
      <c r="M39" s="415">
        <f t="shared" si="2"/>
        <v>0.39669675955832312</v>
      </c>
      <c r="N39" s="415">
        <f t="shared" si="1"/>
        <v>7.2004210052475329E-2</v>
      </c>
      <c r="O39" s="415">
        <f t="shared" si="3"/>
        <v>0.46870096961079843</v>
      </c>
      <c r="P39" s="417">
        <f t="shared" si="4"/>
        <v>9.7930175644436321</v>
      </c>
    </row>
    <row r="40" spans="11:18" x14ac:dyDescent="0.25">
      <c r="K40" s="414">
        <v>35</v>
      </c>
      <c r="L40" s="415">
        <f t="shared" si="0"/>
        <v>0.46870096961079849</v>
      </c>
      <c r="M40" s="415">
        <f t="shared" si="2"/>
        <v>0.39986007522673228</v>
      </c>
      <c r="N40" s="415">
        <f t="shared" si="1"/>
        <v>6.8840894384066195E-2</v>
      </c>
      <c r="O40" s="415">
        <f t="shared" si="3"/>
        <v>0.46870096961079849</v>
      </c>
      <c r="P40" s="417">
        <f t="shared" si="4"/>
        <v>9.3931574892169003</v>
      </c>
    </row>
    <row r="41" spans="11:18" x14ac:dyDescent="0.25">
      <c r="K41" s="414">
        <v>36</v>
      </c>
      <c r="L41" s="415">
        <f t="shared" si="0"/>
        <v>0.46870096961079849</v>
      </c>
      <c r="M41" s="415">
        <f t="shared" si="2"/>
        <v>0.40304861561850225</v>
      </c>
      <c r="N41" s="415">
        <f t="shared" si="1"/>
        <v>6.5652353992296186E-2</v>
      </c>
      <c r="O41" s="415">
        <f t="shared" si="3"/>
        <v>0.46870096961079843</v>
      </c>
      <c r="P41" s="417">
        <f t="shared" si="4"/>
        <v>8.9901088735983983</v>
      </c>
      <c r="Q41" s="421">
        <f>SUM(M30:M41)</f>
        <v>4.6315916202253629</v>
      </c>
      <c r="R41" s="421">
        <f>SUM(N30:N41)</f>
        <v>0.99282001510421791</v>
      </c>
    </row>
    <row r="42" spans="11:18" x14ac:dyDescent="0.25">
      <c r="K42" s="414">
        <v>37</v>
      </c>
      <c r="L42" s="415">
        <f t="shared" si="0"/>
        <v>0.46870096961079849</v>
      </c>
      <c r="M42" s="415">
        <f t="shared" si="2"/>
        <v>0.40626258187911946</v>
      </c>
      <c r="N42" s="415">
        <f t="shared" si="1"/>
        <v>6.2438387731679014E-2</v>
      </c>
      <c r="O42" s="415">
        <f t="shared" si="3"/>
        <v>0.46870096961079849</v>
      </c>
      <c r="P42" s="417">
        <f t="shared" si="4"/>
        <v>8.5838462917192793</v>
      </c>
    </row>
    <row r="43" spans="11:18" x14ac:dyDescent="0.25">
      <c r="K43" s="414">
        <v>38</v>
      </c>
      <c r="L43" s="415">
        <f t="shared" si="0"/>
        <v>0.46870096961079849</v>
      </c>
      <c r="M43" s="415">
        <f t="shared" si="2"/>
        <v>0.40950217675803258</v>
      </c>
      <c r="N43" s="415">
        <f t="shared" si="1"/>
        <v>5.9198792852765886E-2</v>
      </c>
      <c r="O43" s="415">
        <f t="shared" si="3"/>
        <v>0.46870096961079843</v>
      </c>
      <c r="P43" s="417">
        <f t="shared" si="4"/>
        <v>8.1743441149612455</v>
      </c>
    </row>
    <row r="44" spans="11:18" x14ac:dyDescent="0.25">
      <c r="K44" s="414">
        <v>39</v>
      </c>
      <c r="L44" s="415">
        <f t="shared" si="0"/>
        <v>0.46870096961079849</v>
      </c>
      <c r="M44" s="415">
        <f t="shared" si="2"/>
        <v>0.41276760462144291</v>
      </c>
      <c r="N44" s="415">
        <f t="shared" si="1"/>
        <v>5.5933364989355583E-2</v>
      </c>
      <c r="O44" s="415">
        <f t="shared" si="3"/>
        <v>0.46870096961079849</v>
      </c>
      <c r="P44" s="417">
        <f t="shared" si="4"/>
        <v>7.7615765103398022</v>
      </c>
    </row>
    <row r="45" spans="11:18" x14ac:dyDescent="0.25">
      <c r="K45" s="414">
        <v>40</v>
      </c>
      <c r="L45" s="415">
        <f t="shared" si="0"/>
        <v>0.46870096961079849</v>
      </c>
      <c r="M45" s="415">
        <f t="shared" si="2"/>
        <v>0.41605907146519649</v>
      </c>
      <c r="N45" s="415">
        <f t="shared" si="1"/>
        <v>5.2641898145601967E-2</v>
      </c>
      <c r="O45" s="415">
        <f t="shared" si="3"/>
        <v>0.46870096961079843</v>
      </c>
      <c r="P45" s="417">
        <f t="shared" si="4"/>
        <v>7.3455174388746052</v>
      </c>
    </row>
    <row r="46" spans="11:18" x14ac:dyDescent="0.25">
      <c r="K46" s="414">
        <v>41</v>
      </c>
      <c r="L46" s="415">
        <f t="shared" si="0"/>
        <v>0.46870096961079849</v>
      </c>
      <c r="M46" s="415">
        <f t="shared" si="2"/>
        <v>0.4193767849277793</v>
      </c>
      <c r="N46" s="415">
        <f t="shared" si="1"/>
        <v>4.9324184683019176E-2</v>
      </c>
      <c r="O46" s="415">
        <f t="shared" si="3"/>
        <v>0.46870096961079849</v>
      </c>
      <c r="P46" s="417">
        <f t="shared" si="4"/>
        <v>6.9261406539468258</v>
      </c>
    </row>
    <row r="47" spans="11:18" x14ac:dyDescent="0.25">
      <c r="K47" s="414">
        <v>42</v>
      </c>
      <c r="L47" s="415">
        <f t="shared" si="0"/>
        <v>0.46870096961079849</v>
      </c>
      <c r="M47" s="415">
        <f t="shared" si="2"/>
        <v>0.42272095430341561</v>
      </c>
      <c r="N47" s="415">
        <f t="shared" si="1"/>
        <v>4.5980015307382889E-2</v>
      </c>
      <c r="O47" s="415">
        <f t="shared" si="3"/>
        <v>0.46870096961079849</v>
      </c>
      <c r="P47" s="417">
        <f t="shared" si="4"/>
        <v>6.5034196996434099</v>
      </c>
      <c r="Q47" s="421">
        <f>SUM(M36:M47)</f>
        <v>4.8576542724030904</v>
      </c>
      <c r="R47" s="421">
        <f>SUM(N36:N47)</f>
        <v>0.76675736292649133</v>
      </c>
    </row>
    <row r="48" spans="11:18" x14ac:dyDescent="0.25">
      <c r="K48" s="414">
        <v>43</v>
      </c>
      <c r="L48" s="415">
        <f t="shared" si="0"/>
        <v>0.46870096961079849</v>
      </c>
      <c r="M48" s="415">
        <f t="shared" si="2"/>
        <v>0.42609179055527124</v>
      </c>
      <c r="N48" s="415">
        <f t="shared" si="1"/>
        <v>4.2609179055527246E-2</v>
      </c>
      <c r="O48" s="415">
        <f t="shared" si="3"/>
        <v>0.46870096961079849</v>
      </c>
      <c r="P48" s="417">
        <f t="shared" si="4"/>
        <v>6.0773279090881385</v>
      </c>
    </row>
    <row r="49" spans="11:18" x14ac:dyDescent="0.25">
      <c r="K49" s="414">
        <v>44</v>
      </c>
      <c r="L49" s="415">
        <f t="shared" si="0"/>
        <v>0.46870096961079849</v>
      </c>
      <c r="M49" s="415">
        <f t="shared" si="2"/>
        <v>0.42948950632876198</v>
      </c>
      <c r="N49" s="415">
        <f t="shared" si="1"/>
        <v>3.9211463282036466E-2</v>
      </c>
      <c r="O49" s="415">
        <f t="shared" si="3"/>
        <v>0.46870096961079843</v>
      </c>
      <c r="P49" s="417">
        <f t="shared" si="4"/>
        <v>5.6478384027593762</v>
      </c>
    </row>
    <row r="50" spans="11:18" x14ac:dyDescent="0.25">
      <c r="K50" s="414">
        <v>45</v>
      </c>
      <c r="L50" s="415">
        <f t="shared" si="0"/>
        <v>0.46870096961079849</v>
      </c>
      <c r="M50" s="415">
        <f t="shared" si="2"/>
        <v>0.4329143159649681</v>
      </c>
      <c r="N50" s="415">
        <f t="shared" si="1"/>
        <v>3.578665364583037E-2</v>
      </c>
      <c r="O50" s="415">
        <f t="shared" si="3"/>
        <v>0.46870096961079849</v>
      </c>
      <c r="P50" s="417">
        <f t="shared" si="4"/>
        <v>5.214924086794408</v>
      </c>
    </row>
    <row r="51" spans="11:18" x14ac:dyDescent="0.25">
      <c r="K51" s="414">
        <v>46</v>
      </c>
      <c r="L51" s="415">
        <f t="shared" si="0"/>
        <v>0.46870096961079849</v>
      </c>
      <c r="M51" s="415">
        <f t="shared" si="2"/>
        <v>0.43636643551415555</v>
      </c>
      <c r="N51" s="415">
        <f t="shared" si="1"/>
        <v>3.2334534096642893E-2</v>
      </c>
      <c r="O51" s="415">
        <f t="shared" si="3"/>
        <v>0.46870096961079843</v>
      </c>
      <c r="P51" s="417">
        <f t="shared" si="4"/>
        <v>4.7785576512802521</v>
      </c>
    </row>
    <row r="52" spans="11:18" x14ac:dyDescent="0.25">
      <c r="K52" s="414">
        <v>47</v>
      </c>
      <c r="L52" s="415">
        <f t="shared" si="0"/>
        <v>0.46870096961079849</v>
      </c>
      <c r="M52" s="415">
        <f t="shared" si="2"/>
        <v>0.43984608274940562</v>
      </c>
      <c r="N52" s="415">
        <f t="shared" si="1"/>
        <v>2.8854886861392839E-2</v>
      </c>
      <c r="O52" s="415">
        <f t="shared" si="3"/>
        <v>0.46870096961079843</v>
      </c>
      <c r="P52" s="417">
        <f t="shared" si="4"/>
        <v>4.3387115685308473</v>
      </c>
    </row>
    <row r="53" spans="11:18" x14ac:dyDescent="0.25">
      <c r="K53" s="414">
        <v>48</v>
      </c>
      <c r="L53" s="415">
        <f t="shared" si="0"/>
        <v>0.46870096961079849</v>
      </c>
      <c r="M53" s="415">
        <f t="shared" si="2"/>
        <v>0.44335347718035262</v>
      </c>
      <c r="N53" s="415">
        <f t="shared" si="1"/>
        <v>2.5347492430445852E-2</v>
      </c>
      <c r="O53" s="415">
        <f t="shared" si="3"/>
        <v>0.46870096961079849</v>
      </c>
      <c r="P53" s="417">
        <f t="shared" si="4"/>
        <v>3.8953580913504946</v>
      </c>
      <c r="Q53" s="421">
        <f>SUM(M42:M53)</f>
        <v>5.0947507822479015</v>
      </c>
      <c r="R53" s="421">
        <f>SUM(N42:N53)</f>
        <v>0.52966085308168021</v>
      </c>
    </row>
    <row r="54" spans="11:18" x14ac:dyDescent="0.25">
      <c r="K54" s="414">
        <v>49</v>
      </c>
      <c r="L54" s="415">
        <f t="shared" si="0"/>
        <v>0.46870096961079849</v>
      </c>
      <c r="M54" s="415">
        <f t="shared" si="2"/>
        <v>0.44688884006703156</v>
      </c>
      <c r="N54" s="415">
        <f t="shared" si="1"/>
        <v>2.1812129543766944E-2</v>
      </c>
      <c r="O54" s="415">
        <f t="shared" si="3"/>
        <v>0.46870096961079849</v>
      </c>
      <c r="P54" s="417">
        <f t="shared" si="4"/>
        <v>3.4484692512834632</v>
      </c>
    </row>
    <row r="55" spans="11:18" x14ac:dyDescent="0.25">
      <c r="K55" s="414">
        <v>50</v>
      </c>
      <c r="L55" s="415">
        <f t="shared" si="0"/>
        <v>0.46870096961079849</v>
      </c>
      <c r="M55" s="415">
        <f t="shared" si="2"/>
        <v>0.45045239443383589</v>
      </c>
      <c r="N55" s="415">
        <f t="shared" si="1"/>
        <v>1.8248575176962521E-2</v>
      </c>
      <c r="O55" s="415">
        <f t="shared" si="3"/>
        <v>0.46870096961079843</v>
      </c>
      <c r="P55" s="417">
        <f t="shared" si="4"/>
        <v>2.998016856849627</v>
      </c>
    </row>
    <row r="56" spans="11:18" x14ac:dyDescent="0.25">
      <c r="K56" s="414">
        <v>51</v>
      </c>
      <c r="L56" s="415">
        <f t="shared" si="0"/>
        <v>0.46870096961079849</v>
      </c>
      <c r="M56" s="415">
        <f t="shared" si="2"/>
        <v>0.45404436508358736</v>
      </c>
      <c r="N56" s="415">
        <f t="shared" si="1"/>
        <v>1.4656604527211164E-2</v>
      </c>
      <c r="O56" s="415">
        <f t="shared" si="3"/>
        <v>0.46870096961079855</v>
      </c>
      <c r="P56" s="417">
        <f t="shared" si="4"/>
        <v>2.5439724917660396</v>
      </c>
    </row>
    <row r="57" spans="11:18" x14ac:dyDescent="0.25">
      <c r="K57" s="414">
        <v>52</v>
      </c>
      <c r="L57" s="415">
        <f t="shared" si="0"/>
        <v>0.46870096961079849</v>
      </c>
      <c r="M57" s="415">
        <f t="shared" si="2"/>
        <v>0.45766497861171629</v>
      </c>
      <c r="N57" s="415">
        <f t="shared" si="1"/>
        <v>1.1035990999082189E-2</v>
      </c>
      <c r="O57" s="415">
        <f t="shared" si="3"/>
        <v>0.46870096961079849</v>
      </c>
      <c r="P57" s="417">
        <f t="shared" si="4"/>
        <v>2.0863075131543232</v>
      </c>
    </row>
    <row r="58" spans="11:18" x14ac:dyDescent="0.25">
      <c r="K58" s="414">
        <v>53</v>
      </c>
      <c r="L58" s="415">
        <f t="shared" si="0"/>
        <v>0.46870096961079849</v>
      </c>
      <c r="M58" s="415">
        <f t="shared" si="2"/>
        <v>0.46131446342055737</v>
      </c>
      <c r="N58" s="415">
        <f t="shared" si="1"/>
        <v>7.386506190241126E-3</v>
      </c>
      <c r="O58" s="415">
        <f t="shared" si="3"/>
        <v>0.46870096961079849</v>
      </c>
      <c r="P58" s="417">
        <f t="shared" si="4"/>
        <v>1.6249930497337659</v>
      </c>
    </row>
    <row r="59" spans="11:18" x14ac:dyDescent="0.25">
      <c r="K59" s="414">
        <v>54</v>
      </c>
      <c r="L59" s="415">
        <f t="shared" si="0"/>
        <v>0.46870096961079849</v>
      </c>
      <c r="M59" s="415">
        <f t="shared" si="2"/>
        <v>0.46499304973375727</v>
      </c>
      <c r="N59" s="415">
        <f t="shared" si="1"/>
        <v>3.7079198770412127E-3</v>
      </c>
      <c r="O59" s="415">
        <f t="shared" si="3"/>
        <v>0.46870096961079849</v>
      </c>
      <c r="P59" s="417">
        <f t="shared" si="4"/>
        <v>1.1600000000000086</v>
      </c>
      <c r="Q59" s="421">
        <f>SUM(M48:M59)</f>
        <v>5.3434196996434009</v>
      </c>
      <c r="R59" s="421">
        <f>SUM(N48:N59)</f>
        <v>0.2809919356861808</v>
      </c>
    </row>
    <row r="60" spans="11:18" x14ac:dyDescent="0.25">
      <c r="K60" s="414">
        <v>55</v>
      </c>
      <c r="L60" s="415">
        <f t="shared" si="0"/>
        <v>0.46870096961079849</v>
      </c>
      <c r="M60" s="415" t="e">
        <f t="shared" si="2"/>
        <v>#NUM!</v>
      </c>
      <c r="N60" s="415" t="e">
        <f t="shared" si="1"/>
        <v>#NUM!</v>
      </c>
      <c r="O60" s="415" t="e">
        <f t="shared" si="3"/>
        <v>#NUM!</v>
      </c>
      <c r="P60" s="417" t="e">
        <f t="shared" si="4"/>
        <v>#NUM!</v>
      </c>
    </row>
    <row r="61" spans="11:18" x14ac:dyDescent="0.25">
      <c r="K61" s="414">
        <v>56</v>
      </c>
      <c r="L61" s="415">
        <f t="shared" si="0"/>
        <v>0.46870096961079849</v>
      </c>
      <c r="M61" s="415" t="e">
        <f t="shared" si="2"/>
        <v>#NUM!</v>
      </c>
      <c r="N61" s="415" t="e">
        <f t="shared" si="1"/>
        <v>#NUM!</v>
      </c>
      <c r="O61" s="415" t="e">
        <f t="shared" si="3"/>
        <v>#NUM!</v>
      </c>
      <c r="P61" s="417" t="e">
        <f t="shared" si="4"/>
        <v>#NUM!</v>
      </c>
    </row>
    <row r="62" spans="11:18" x14ac:dyDescent="0.25">
      <c r="K62" s="414">
        <v>57</v>
      </c>
      <c r="L62" s="415">
        <f t="shared" si="0"/>
        <v>0.46870096961079849</v>
      </c>
      <c r="M62" s="415" t="e">
        <f t="shared" si="2"/>
        <v>#NUM!</v>
      </c>
      <c r="N62" s="415" t="e">
        <f t="shared" si="1"/>
        <v>#NUM!</v>
      </c>
      <c r="O62" s="415" t="e">
        <f t="shared" si="3"/>
        <v>#NUM!</v>
      </c>
      <c r="P62" s="417" t="e">
        <f t="shared" si="4"/>
        <v>#NUM!</v>
      </c>
    </row>
    <row r="63" spans="11:18" x14ac:dyDescent="0.25">
      <c r="K63" s="414">
        <v>58</v>
      </c>
      <c r="L63" s="415">
        <f t="shared" si="0"/>
        <v>0.46870096961079849</v>
      </c>
      <c r="M63" s="415" t="e">
        <f t="shared" si="2"/>
        <v>#NUM!</v>
      </c>
      <c r="N63" s="415" t="e">
        <f t="shared" si="1"/>
        <v>#NUM!</v>
      </c>
      <c r="O63" s="415" t="e">
        <f t="shared" si="3"/>
        <v>#NUM!</v>
      </c>
      <c r="P63" s="417" t="e">
        <f t="shared" si="4"/>
        <v>#NUM!</v>
      </c>
    </row>
    <row r="64" spans="11:18" x14ac:dyDescent="0.25">
      <c r="K64" s="414">
        <v>59</v>
      </c>
      <c r="L64" s="415">
        <f t="shared" si="0"/>
        <v>0.46870096961079849</v>
      </c>
      <c r="M64" s="415" t="e">
        <f t="shared" si="2"/>
        <v>#NUM!</v>
      </c>
      <c r="N64" s="415" t="e">
        <f t="shared" si="1"/>
        <v>#NUM!</v>
      </c>
      <c r="O64" s="415" t="e">
        <f t="shared" si="3"/>
        <v>#NUM!</v>
      </c>
      <c r="P64" s="417" t="e">
        <f t="shared" si="4"/>
        <v>#NUM!</v>
      </c>
    </row>
    <row r="65" spans="11:18" x14ac:dyDescent="0.25">
      <c r="K65" s="414">
        <v>60</v>
      </c>
      <c r="L65" s="415">
        <f t="shared" si="0"/>
        <v>0.46870096961079849</v>
      </c>
      <c r="M65" s="415" t="e">
        <f t="shared" si="2"/>
        <v>#NUM!</v>
      </c>
      <c r="N65" s="415" t="e">
        <f t="shared" si="1"/>
        <v>#NUM!</v>
      </c>
      <c r="O65" s="415" t="e">
        <f t="shared" si="3"/>
        <v>#NUM!</v>
      </c>
      <c r="P65" s="417" t="e">
        <f t="shared" si="4"/>
        <v>#NUM!</v>
      </c>
      <c r="Q65" s="421" t="e">
        <f>SUM(M54:M65)</f>
        <v>#NUM!</v>
      </c>
      <c r="R65" s="421" t="e">
        <f>SUM(N54:N65)</f>
        <v>#NUM!</v>
      </c>
    </row>
    <row r="66" spans="11:18" x14ac:dyDescent="0.25">
      <c r="K66" s="414">
        <v>61</v>
      </c>
      <c r="L66" s="415">
        <f t="shared" si="0"/>
        <v>0.46870096961079849</v>
      </c>
      <c r="M66" s="415" t="e">
        <f t="shared" si="2"/>
        <v>#NUM!</v>
      </c>
      <c r="N66" s="415" t="e">
        <f t="shared" si="1"/>
        <v>#NUM!</v>
      </c>
      <c r="O66" s="415" t="e">
        <f t="shared" si="3"/>
        <v>#NUM!</v>
      </c>
      <c r="P66" s="417" t="e">
        <f t="shared" si="4"/>
        <v>#NUM!</v>
      </c>
    </row>
    <row r="67" spans="11:18" x14ac:dyDescent="0.25">
      <c r="K67" s="414">
        <v>62</v>
      </c>
      <c r="L67" s="415">
        <f t="shared" si="0"/>
        <v>0.46870096961079849</v>
      </c>
      <c r="M67" s="415" t="e">
        <f t="shared" si="2"/>
        <v>#NUM!</v>
      </c>
      <c r="N67" s="415" t="e">
        <f t="shared" si="1"/>
        <v>#NUM!</v>
      </c>
      <c r="O67" s="415" t="e">
        <f t="shared" si="3"/>
        <v>#NUM!</v>
      </c>
      <c r="P67" s="417" t="e">
        <f t="shared" si="4"/>
        <v>#NUM!</v>
      </c>
    </row>
    <row r="68" spans="11:18" x14ac:dyDescent="0.25">
      <c r="K68" s="414">
        <v>63</v>
      </c>
      <c r="L68" s="415">
        <f t="shared" si="0"/>
        <v>0.46870096961079849</v>
      </c>
      <c r="M68" s="415" t="e">
        <f t="shared" si="2"/>
        <v>#NUM!</v>
      </c>
      <c r="N68" s="415" t="e">
        <f t="shared" si="1"/>
        <v>#NUM!</v>
      </c>
      <c r="O68" s="415" t="e">
        <f t="shared" si="3"/>
        <v>#NUM!</v>
      </c>
      <c r="P68" s="417" t="e">
        <f t="shared" si="4"/>
        <v>#NUM!</v>
      </c>
    </row>
    <row r="69" spans="11:18" x14ac:dyDescent="0.25">
      <c r="K69" s="414">
        <v>64</v>
      </c>
      <c r="L69" s="415">
        <f t="shared" si="0"/>
        <v>0.46870096961079849</v>
      </c>
      <c r="M69" s="415" t="e">
        <f t="shared" si="2"/>
        <v>#NUM!</v>
      </c>
      <c r="N69" s="415" t="e">
        <f t="shared" si="1"/>
        <v>#NUM!</v>
      </c>
      <c r="O69" s="415" t="e">
        <f t="shared" si="3"/>
        <v>#NUM!</v>
      </c>
      <c r="P69" s="417" t="e">
        <f t="shared" si="4"/>
        <v>#NUM!</v>
      </c>
    </row>
    <row r="70" spans="11:18" x14ac:dyDescent="0.25">
      <c r="K70" s="414">
        <v>65</v>
      </c>
      <c r="L70" s="415">
        <f t="shared" ref="L70:L89" si="8">-PMT((1+$E$12)^(1/12)-1,$E$13,$E$9)</f>
        <v>0.46870096961079849</v>
      </c>
      <c r="M70" s="415" t="e">
        <f t="shared" si="2"/>
        <v>#NUM!</v>
      </c>
      <c r="N70" s="415" t="e">
        <f t="shared" ref="N70:N89" si="9">-IPMT((1+$E$12)^(1/12)-1,K70,$E$13,$E$9)</f>
        <v>#NUM!</v>
      </c>
      <c r="O70" s="415" t="e">
        <f t="shared" si="3"/>
        <v>#NUM!</v>
      </c>
      <c r="P70" s="417" t="e">
        <f t="shared" si="4"/>
        <v>#NUM!</v>
      </c>
    </row>
    <row r="71" spans="11:18" x14ac:dyDescent="0.25">
      <c r="K71" s="414">
        <v>66</v>
      </c>
      <c r="L71" s="415">
        <f t="shared" si="8"/>
        <v>0.46870096961079849</v>
      </c>
      <c r="M71" s="415" t="e">
        <f t="shared" ref="M71:M89" si="10">-PPMT((1+$E$12)^(1/12)-1,K71,$E$13,$E$9)</f>
        <v>#NUM!</v>
      </c>
      <c r="N71" s="415" t="e">
        <f t="shared" si="9"/>
        <v>#NUM!</v>
      </c>
      <c r="O71" s="415" t="e">
        <f t="shared" ref="O71:O89" si="11">SUM(M71:N71)</f>
        <v>#NUM!</v>
      </c>
      <c r="P71" s="417" t="e">
        <f t="shared" ref="P71:P89" si="12">+P70+N71-O71</f>
        <v>#NUM!</v>
      </c>
    </row>
    <row r="72" spans="11:18" x14ac:dyDescent="0.25">
      <c r="K72" s="414">
        <v>67</v>
      </c>
      <c r="L72" s="415">
        <f t="shared" si="8"/>
        <v>0.46870096961079849</v>
      </c>
      <c r="M72" s="415" t="e">
        <f t="shared" si="10"/>
        <v>#NUM!</v>
      </c>
      <c r="N72" s="415" t="e">
        <f t="shared" si="9"/>
        <v>#NUM!</v>
      </c>
      <c r="O72" s="415" t="e">
        <f t="shared" si="11"/>
        <v>#NUM!</v>
      </c>
      <c r="P72" s="417" t="e">
        <f t="shared" si="12"/>
        <v>#NUM!</v>
      </c>
    </row>
    <row r="73" spans="11:18" x14ac:dyDescent="0.25">
      <c r="K73" s="414">
        <v>68</v>
      </c>
      <c r="L73" s="415">
        <f t="shared" si="8"/>
        <v>0.46870096961079849</v>
      </c>
      <c r="M73" s="415" t="e">
        <f t="shared" si="10"/>
        <v>#NUM!</v>
      </c>
      <c r="N73" s="415" t="e">
        <f t="shared" si="9"/>
        <v>#NUM!</v>
      </c>
      <c r="O73" s="415" t="e">
        <f t="shared" si="11"/>
        <v>#NUM!</v>
      </c>
      <c r="P73" s="417" t="e">
        <f t="shared" si="12"/>
        <v>#NUM!</v>
      </c>
    </row>
    <row r="74" spans="11:18" x14ac:dyDescent="0.25">
      <c r="K74" s="414">
        <v>69</v>
      </c>
      <c r="L74" s="415">
        <f t="shared" si="8"/>
        <v>0.46870096961079849</v>
      </c>
      <c r="M74" s="415" t="e">
        <f t="shared" si="10"/>
        <v>#NUM!</v>
      </c>
      <c r="N74" s="415" t="e">
        <f t="shared" si="9"/>
        <v>#NUM!</v>
      </c>
      <c r="O74" s="415" t="e">
        <f t="shared" si="11"/>
        <v>#NUM!</v>
      </c>
      <c r="P74" s="417" t="e">
        <f t="shared" si="12"/>
        <v>#NUM!</v>
      </c>
    </row>
    <row r="75" spans="11:18" x14ac:dyDescent="0.25">
      <c r="K75" s="414">
        <v>70</v>
      </c>
      <c r="L75" s="415">
        <f t="shared" si="8"/>
        <v>0.46870096961079849</v>
      </c>
      <c r="M75" s="415" t="e">
        <f t="shared" si="10"/>
        <v>#NUM!</v>
      </c>
      <c r="N75" s="415" t="e">
        <f t="shared" si="9"/>
        <v>#NUM!</v>
      </c>
      <c r="O75" s="415" t="e">
        <f t="shared" si="11"/>
        <v>#NUM!</v>
      </c>
      <c r="P75" s="417" t="e">
        <f t="shared" si="12"/>
        <v>#NUM!</v>
      </c>
    </row>
    <row r="76" spans="11:18" x14ac:dyDescent="0.25">
      <c r="K76" s="414">
        <v>71</v>
      </c>
      <c r="L76" s="415">
        <f t="shared" si="8"/>
        <v>0.46870096961079849</v>
      </c>
      <c r="M76" s="415" t="e">
        <f t="shared" si="10"/>
        <v>#NUM!</v>
      </c>
      <c r="N76" s="415" t="e">
        <f t="shared" si="9"/>
        <v>#NUM!</v>
      </c>
      <c r="O76" s="415" t="e">
        <f t="shared" si="11"/>
        <v>#NUM!</v>
      </c>
      <c r="P76" s="417" t="e">
        <f t="shared" si="12"/>
        <v>#NUM!</v>
      </c>
    </row>
    <row r="77" spans="11:18" x14ac:dyDescent="0.25">
      <c r="K77" s="414">
        <v>72</v>
      </c>
      <c r="L77" s="415">
        <f t="shared" si="8"/>
        <v>0.46870096961079849</v>
      </c>
      <c r="M77" s="415" t="e">
        <f t="shared" si="10"/>
        <v>#NUM!</v>
      </c>
      <c r="N77" s="415" t="e">
        <f t="shared" si="9"/>
        <v>#NUM!</v>
      </c>
      <c r="O77" s="415" t="e">
        <f t="shared" si="11"/>
        <v>#NUM!</v>
      </c>
      <c r="P77" s="417" t="e">
        <f t="shared" si="12"/>
        <v>#NUM!</v>
      </c>
      <c r="Q77" s="421" t="e">
        <f>SUM(M66:M77)</f>
        <v>#NUM!</v>
      </c>
      <c r="R77" s="421" t="e">
        <f>SUM(N66:N77)</f>
        <v>#NUM!</v>
      </c>
    </row>
    <row r="78" spans="11:18" x14ac:dyDescent="0.25">
      <c r="K78" s="414">
        <v>73</v>
      </c>
      <c r="L78" s="415">
        <f t="shared" si="8"/>
        <v>0.46870096961079849</v>
      </c>
      <c r="M78" s="415" t="e">
        <f t="shared" si="10"/>
        <v>#NUM!</v>
      </c>
      <c r="N78" s="415" t="e">
        <f t="shared" si="9"/>
        <v>#NUM!</v>
      </c>
      <c r="O78" s="415" t="e">
        <f t="shared" si="11"/>
        <v>#NUM!</v>
      </c>
      <c r="P78" s="417" t="e">
        <f t="shared" si="12"/>
        <v>#NUM!</v>
      </c>
    </row>
    <row r="79" spans="11:18" x14ac:dyDescent="0.25">
      <c r="K79" s="414">
        <v>74</v>
      </c>
      <c r="L79" s="415">
        <f t="shared" si="8"/>
        <v>0.46870096961079849</v>
      </c>
      <c r="M79" s="415" t="e">
        <f t="shared" si="10"/>
        <v>#NUM!</v>
      </c>
      <c r="N79" s="415" t="e">
        <f t="shared" si="9"/>
        <v>#NUM!</v>
      </c>
      <c r="O79" s="415" t="e">
        <f t="shared" si="11"/>
        <v>#NUM!</v>
      </c>
      <c r="P79" s="417" t="e">
        <f t="shared" si="12"/>
        <v>#NUM!</v>
      </c>
    </row>
    <row r="80" spans="11:18" x14ac:dyDescent="0.25">
      <c r="K80" s="414">
        <v>75</v>
      </c>
      <c r="L80" s="415">
        <f t="shared" si="8"/>
        <v>0.46870096961079849</v>
      </c>
      <c r="M80" s="415" t="e">
        <f t="shared" si="10"/>
        <v>#NUM!</v>
      </c>
      <c r="N80" s="415" t="e">
        <f t="shared" si="9"/>
        <v>#NUM!</v>
      </c>
      <c r="O80" s="415" t="e">
        <f t="shared" si="11"/>
        <v>#NUM!</v>
      </c>
      <c r="P80" s="417" t="e">
        <f t="shared" si="12"/>
        <v>#NUM!</v>
      </c>
    </row>
    <row r="81" spans="11:18" x14ac:dyDescent="0.25">
      <c r="K81" s="414">
        <v>76</v>
      </c>
      <c r="L81" s="415">
        <f t="shared" si="8"/>
        <v>0.46870096961079849</v>
      </c>
      <c r="M81" s="415" t="e">
        <f t="shared" si="10"/>
        <v>#NUM!</v>
      </c>
      <c r="N81" s="415" t="e">
        <f t="shared" si="9"/>
        <v>#NUM!</v>
      </c>
      <c r="O81" s="415" t="e">
        <f t="shared" si="11"/>
        <v>#NUM!</v>
      </c>
      <c r="P81" s="417" t="e">
        <f t="shared" si="12"/>
        <v>#NUM!</v>
      </c>
    </row>
    <row r="82" spans="11:18" x14ac:dyDescent="0.25">
      <c r="K82" s="414">
        <v>77</v>
      </c>
      <c r="L82" s="415">
        <f t="shared" si="8"/>
        <v>0.46870096961079849</v>
      </c>
      <c r="M82" s="415" t="e">
        <f t="shared" si="10"/>
        <v>#NUM!</v>
      </c>
      <c r="N82" s="415" t="e">
        <f t="shared" si="9"/>
        <v>#NUM!</v>
      </c>
      <c r="O82" s="415" t="e">
        <f t="shared" si="11"/>
        <v>#NUM!</v>
      </c>
      <c r="P82" s="417" t="e">
        <f t="shared" si="12"/>
        <v>#NUM!</v>
      </c>
    </row>
    <row r="83" spans="11:18" x14ac:dyDescent="0.25">
      <c r="K83" s="414">
        <v>78</v>
      </c>
      <c r="L83" s="415">
        <f t="shared" si="8"/>
        <v>0.46870096961079849</v>
      </c>
      <c r="M83" s="415" t="e">
        <f t="shared" si="10"/>
        <v>#NUM!</v>
      </c>
      <c r="N83" s="415" t="e">
        <f t="shared" si="9"/>
        <v>#NUM!</v>
      </c>
      <c r="O83" s="415" t="e">
        <f t="shared" si="11"/>
        <v>#NUM!</v>
      </c>
      <c r="P83" s="417" t="e">
        <f t="shared" si="12"/>
        <v>#NUM!</v>
      </c>
    </row>
    <row r="84" spans="11:18" x14ac:dyDescent="0.25">
      <c r="K84" s="414">
        <v>79</v>
      </c>
      <c r="L84" s="415">
        <f t="shared" si="8"/>
        <v>0.46870096961079849</v>
      </c>
      <c r="M84" s="415" t="e">
        <f t="shared" si="10"/>
        <v>#NUM!</v>
      </c>
      <c r="N84" s="415" t="e">
        <f t="shared" si="9"/>
        <v>#NUM!</v>
      </c>
      <c r="O84" s="415" t="e">
        <f t="shared" si="11"/>
        <v>#NUM!</v>
      </c>
      <c r="P84" s="417" t="e">
        <f t="shared" si="12"/>
        <v>#NUM!</v>
      </c>
    </row>
    <row r="85" spans="11:18" x14ac:dyDescent="0.25">
      <c r="K85" s="414">
        <v>80</v>
      </c>
      <c r="L85" s="415">
        <f t="shared" si="8"/>
        <v>0.46870096961079849</v>
      </c>
      <c r="M85" s="415" t="e">
        <f t="shared" si="10"/>
        <v>#NUM!</v>
      </c>
      <c r="N85" s="415" t="e">
        <f t="shared" si="9"/>
        <v>#NUM!</v>
      </c>
      <c r="O85" s="415" t="e">
        <f t="shared" si="11"/>
        <v>#NUM!</v>
      </c>
      <c r="P85" s="417" t="e">
        <f t="shared" si="12"/>
        <v>#NUM!</v>
      </c>
    </row>
    <row r="86" spans="11:18" x14ac:dyDescent="0.25">
      <c r="K86" s="414">
        <v>81</v>
      </c>
      <c r="L86" s="415">
        <f t="shared" si="8"/>
        <v>0.46870096961079849</v>
      </c>
      <c r="M86" s="415" t="e">
        <f t="shared" si="10"/>
        <v>#NUM!</v>
      </c>
      <c r="N86" s="415" t="e">
        <f t="shared" si="9"/>
        <v>#NUM!</v>
      </c>
      <c r="O86" s="415" t="e">
        <f t="shared" si="11"/>
        <v>#NUM!</v>
      </c>
      <c r="P86" s="417" t="e">
        <f t="shared" si="12"/>
        <v>#NUM!</v>
      </c>
    </row>
    <row r="87" spans="11:18" x14ac:dyDescent="0.25">
      <c r="K87" s="414">
        <v>82</v>
      </c>
      <c r="L87" s="415">
        <f t="shared" si="8"/>
        <v>0.46870096961079849</v>
      </c>
      <c r="M87" s="415" t="e">
        <f t="shared" si="10"/>
        <v>#NUM!</v>
      </c>
      <c r="N87" s="415" t="e">
        <f t="shared" si="9"/>
        <v>#NUM!</v>
      </c>
      <c r="O87" s="415" t="e">
        <f t="shared" si="11"/>
        <v>#NUM!</v>
      </c>
      <c r="P87" s="417" t="e">
        <f t="shared" si="12"/>
        <v>#NUM!</v>
      </c>
    </row>
    <row r="88" spans="11:18" x14ac:dyDescent="0.25">
      <c r="K88" s="414">
        <v>83</v>
      </c>
      <c r="L88" s="415">
        <f t="shared" si="8"/>
        <v>0.46870096961079849</v>
      </c>
      <c r="M88" s="415" t="e">
        <f t="shared" si="10"/>
        <v>#NUM!</v>
      </c>
      <c r="N88" s="415" t="e">
        <f t="shared" si="9"/>
        <v>#NUM!</v>
      </c>
      <c r="O88" s="415" t="e">
        <f t="shared" si="11"/>
        <v>#NUM!</v>
      </c>
      <c r="P88" s="417" t="e">
        <f t="shared" si="12"/>
        <v>#NUM!</v>
      </c>
    </row>
    <row r="89" spans="11:18" ht="15.75" thickBot="1" x14ac:dyDescent="0.3">
      <c r="K89" s="418">
        <v>84</v>
      </c>
      <c r="L89" s="415">
        <f t="shared" si="8"/>
        <v>0.46870096961079849</v>
      </c>
      <c r="M89" s="415" t="e">
        <f t="shared" si="10"/>
        <v>#NUM!</v>
      </c>
      <c r="N89" s="415" t="e">
        <f t="shared" si="9"/>
        <v>#NUM!</v>
      </c>
      <c r="O89" s="419" t="e">
        <f t="shared" si="11"/>
        <v>#NUM!</v>
      </c>
      <c r="P89" s="420" t="e">
        <f t="shared" si="12"/>
        <v>#NUM!</v>
      </c>
      <c r="Q89" s="421" t="e">
        <f>SUM(M78:M89)</f>
        <v>#NUM!</v>
      </c>
      <c r="R89" s="421" t="e">
        <f>SUM(N78:N89)</f>
        <v>#NUM!</v>
      </c>
    </row>
  </sheetData>
  <sheetProtection algorithmName="SHA-512" hashValue="uzmWcf5D9CXmqJFEfnSI/9NJEhR8dv9hTvcNl5wjvNArp64hWLS39M/5KJhHSNwiqd5W+FJHgIhTBJgflSI4yw==" saltValue="RX1rDXdXoTtiUEE1TOvYGw==" spinCount="100000" sheet="1" objects="1" scenarios="1" selectLockedCells="1" selectUnlockedCells="1"/>
  <mergeCells count="3">
    <mergeCell ref="B18:H18"/>
    <mergeCell ref="A1:H1"/>
    <mergeCell ref="A2:H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topLeftCell="A3" zoomScaleNormal="100" workbookViewId="0">
      <selection activeCell="E13" sqref="E13"/>
    </sheetView>
  </sheetViews>
  <sheetFormatPr defaultRowHeight="15.75" x14ac:dyDescent="0.25"/>
  <cols>
    <col min="1" max="1" width="56.7109375" style="278" bestFit="1" customWidth="1"/>
    <col min="2" max="8" width="17.7109375" style="278" bestFit="1" customWidth="1"/>
    <col min="9" max="16384" width="9.140625" style="278"/>
  </cols>
  <sheetData>
    <row r="1" spans="1:19" x14ac:dyDescent="0.25">
      <c r="A1" s="496" t="str">
        <f>+'Repayment Schedule'!A1:H1</f>
        <v>M/s SMJ Interiors</v>
      </c>
      <c r="B1" s="496"/>
      <c r="C1" s="496"/>
      <c r="D1" s="496"/>
      <c r="E1" s="496"/>
      <c r="F1" s="496"/>
      <c r="G1" s="277"/>
      <c r="H1" s="277"/>
    </row>
    <row r="2" spans="1:19" x14ac:dyDescent="0.25">
      <c r="A2" s="496" t="str">
        <f>+'Repayment Schedule'!A2:H2</f>
        <v>(UPVC Window Making Plant)</v>
      </c>
      <c r="B2" s="496"/>
      <c r="C2" s="496"/>
      <c r="D2" s="496"/>
      <c r="E2" s="496"/>
      <c r="F2" s="496"/>
      <c r="G2" s="277"/>
      <c r="H2" s="277"/>
    </row>
    <row r="4" spans="1:19" x14ac:dyDescent="0.25">
      <c r="A4" s="279"/>
      <c r="B4" s="279"/>
      <c r="C4" s="279"/>
      <c r="D4" s="279"/>
      <c r="E4" s="279"/>
      <c r="F4" s="5" t="s">
        <v>210</v>
      </c>
      <c r="G4" s="279"/>
      <c r="H4" s="5"/>
      <c r="I4" s="279"/>
      <c r="J4" s="279"/>
      <c r="K4" s="279"/>
      <c r="L4" s="279"/>
      <c r="M4" s="279"/>
      <c r="N4" s="279"/>
      <c r="O4" s="279"/>
      <c r="P4" s="279"/>
      <c r="Q4" s="279"/>
      <c r="R4" s="279"/>
      <c r="S4" s="279"/>
    </row>
    <row r="5" spans="1:19" x14ac:dyDescent="0.25">
      <c r="A5" s="280" t="s">
        <v>113</v>
      </c>
      <c r="B5" s="280"/>
      <c r="C5" s="280"/>
      <c r="D5" s="280"/>
      <c r="E5" s="280"/>
      <c r="F5" s="280"/>
      <c r="G5" s="280"/>
      <c r="H5" s="280"/>
      <c r="I5" s="279"/>
      <c r="J5" s="279"/>
      <c r="K5" s="279"/>
      <c r="L5" s="279"/>
      <c r="M5" s="279"/>
      <c r="N5" s="279"/>
      <c r="O5" s="279"/>
      <c r="P5" s="279"/>
      <c r="Q5" s="279"/>
      <c r="R5" s="279"/>
      <c r="S5" s="279"/>
    </row>
    <row r="6" spans="1:19" ht="16.5" thickBot="1" x14ac:dyDescent="0.3">
      <c r="A6" s="64"/>
      <c r="B6" s="62"/>
      <c r="C6" s="62"/>
      <c r="D6" s="62"/>
      <c r="E6" s="504" t="s">
        <v>125</v>
      </c>
      <c r="F6" s="504"/>
      <c r="G6" s="504"/>
      <c r="H6" s="504"/>
      <c r="I6" s="279"/>
      <c r="J6" s="279"/>
      <c r="K6" s="279"/>
      <c r="L6" s="279"/>
      <c r="M6" s="279"/>
      <c r="N6" s="279"/>
      <c r="O6" s="279"/>
      <c r="P6" s="279"/>
      <c r="Q6" s="279"/>
      <c r="R6" s="279"/>
      <c r="S6" s="279"/>
    </row>
    <row r="7" spans="1:19" x14ac:dyDescent="0.25">
      <c r="A7" s="69" t="s">
        <v>2</v>
      </c>
      <c r="B7" s="505" t="s">
        <v>3</v>
      </c>
      <c r="C7" s="506"/>
      <c r="D7" s="506"/>
      <c r="E7" s="506"/>
      <c r="F7" s="507"/>
      <c r="G7" s="452"/>
      <c r="H7" s="453"/>
      <c r="I7" s="279"/>
      <c r="J7" s="279"/>
      <c r="K7" s="279"/>
      <c r="L7" s="279"/>
      <c r="M7" s="279"/>
      <c r="N7" s="279"/>
      <c r="O7" s="279"/>
      <c r="P7" s="279"/>
      <c r="Q7" s="279"/>
      <c r="R7" s="279"/>
      <c r="S7" s="279"/>
    </row>
    <row r="8" spans="1:19" ht="16.5" thickBot="1" x14ac:dyDescent="0.3">
      <c r="A8" s="70"/>
      <c r="B8" s="434" t="s">
        <v>4</v>
      </c>
      <c r="C8" s="435" t="s">
        <v>5</v>
      </c>
      <c r="D8" s="435" t="s">
        <v>6</v>
      </c>
      <c r="E8" s="435" t="s">
        <v>7</v>
      </c>
      <c r="F8" s="455" t="s">
        <v>8</v>
      </c>
      <c r="G8" s="454" t="s">
        <v>9</v>
      </c>
      <c r="H8" s="436" t="s">
        <v>10</v>
      </c>
      <c r="I8" s="279"/>
      <c r="J8" s="279"/>
      <c r="K8" s="279"/>
      <c r="L8" s="279"/>
      <c r="M8" s="279"/>
      <c r="N8" s="279"/>
      <c r="O8" s="279"/>
      <c r="P8" s="279"/>
      <c r="Q8" s="279"/>
      <c r="R8" s="279"/>
      <c r="S8" s="279"/>
    </row>
    <row r="9" spans="1:19" x14ac:dyDescent="0.25">
      <c r="A9" s="83"/>
      <c r="B9" s="456"/>
      <c r="C9" s="62"/>
      <c r="D9" s="41"/>
      <c r="E9" s="62"/>
      <c r="F9" s="457"/>
      <c r="G9" s="62"/>
      <c r="H9" s="41"/>
      <c r="I9" s="279"/>
      <c r="J9" s="279"/>
      <c r="K9" s="279"/>
      <c r="L9" s="279"/>
      <c r="M9" s="279"/>
      <c r="N9" s="279"/>
      <c r="O9" s="279"/>
      <c r="P9" s="279"/>
      <c r="Q9" s="279"/>
      <c r="R9" s="279"/>
      <c r="S9" s="279"/>
    </row>
    <row r="10" spans="1:19" x14ac:dyDescent="0.25">
      <c r="A10" s="84" t="s">
        <v>114</v>
      </c>
      <c r="B10" s="456"/>
      <c r="C10" s="62"/>
      <c r="D10" s="41"/>
      <c r="E10" s="62"/>
      <c r="F10" s="457"/>
      <c r="G10" s="62"/>
      <c r="H10" s="41"/>
      <c r="I10" s="279"/>
      <c r="J10" s="279"/>
      <c r="K10" s="279"/>
      <c r="L10" s="279"/>
      <c r="M10" s="279"/>
      <c r="N10" s="279"/>
      <c r="O10" s="279"/>
      <c r="P10" s="279"/>
      <c r="Q10" s="279"/>
      <c r="R10" s="279"/>
      <c r="S10" s="279"/>
    </row>
    <row r="11" spans="1:19" x14ac:dyDescent="0.25">
      <c r="A11" s="84" t="s">
        <v>42</v>
      </c>
      <c r="B11" s="456"/>
      <c r="C11" s="62"/>
      <c r="D11" s="41"/>
      <c r="E11" s="62"/>
      <c r="F11" s="457"/>
      <c r="G11" s="62"/>
      <c r="H11" s="41"/>
      <c r="I11" s="279"/>
      <c r="J11" s="279"/>
      <c r="K11" s="279"/>
      <c r="L11" s="279"/>
      <c r="M11" s="279"/>
      <c r="N11" s="279"/>
      <c r="O11" s="279"/>
      <c r="P11" s="279"/>
      <c r="Q11" s="279"/>
      <c r="R11" s="279"/>
      <c r="S11" s="279"/>
    </row>
    <row r="12" spans="1:19" x14ac:dyDescent="0.25">
      <c r="A12" s="74" t="s">
        <v>123</v>
      </c>
      <c r="B12" s="458">
        <v>14.5</v>
      </c>
      <c r="C12" s="76">
        <f>+B12*1.1</f>
        <v>15.950000000000001</v>
      </c>
      <c r="D12" s="281">
        <f t="shared" ref="D12:H13" si="0">+C12*1.1</f>
        <v>17.545000000000002</v>
      </c>
      <c r="E12" s="76">
        <f>+D12*1.11</f>
        <v>19.474950000000003</v>
      </c>
      <c r="F12" s="459">
        <f t="shared" si="0"/>
        <v>21.422445000000007</v>
      </c>
      <c r="G12" s="76">
        <f t="shared" si="0"/>
        <v>23.564689500000011</v>
      </c>
      <c r="H12" s="281">
        <f t="shared" si="0"/>
        <v>25.921158450000014</v>
      </c>
      <c r="I12" s="279"/>
      <c r="J12" s="279"/>
      <c r="K12" s="279"/>
      <c r="L12" s="279"/>
      <c r="M12" s="279"/>
      <c r="N12" s="279"/>
      <c r="O12" s="279"/>
      <c r="P12" s="279"/>
      <c r="Q12" s="279"/>
      <c r="R12" s="279"/>
      <c r="S12" s="279"/>
    </row>
    <row r="13" spans="1:19" x14ac:dyDescent="0.25">
      <c r="A13" s="74" t="s">
        <v>124</v>
      </c>
      <c r="B13" s="458">
        <v>12</v>
      </c>
      <c r="C13" s="76">
        <f>+B13*1.1</f>
        <v>13.200000000000001</v>
      </c>
      <c r="D13" s="281">
        <f t="shared" si="0"/>
        <v>14.520000000000003</v>
      </c>
      <c r="E13" s="76">
        <f t="shared" si="0"/>
        <v>15.972000000000005</v>
      </c>
      <c r="F13" s="459">
        <f t="shared" si="0"/>
        <v>17.569200000000006</v>
      </c>
      <c r="G13" s="76">
        <f t="shared" si="0"/>
        <v>19.326120000000007</v>
      </c>
      <c r="H13" s="281">
        <f t="shared" si="0"/>
        <v>21.258732000000009</v>
      </c>
      <c r="I13" s="279"/>
      <c r="J13" s="279"/>
      <c r="K13" s="279"/>
      <c r="L13" s="279"/>
      <c r="M13" s="279"/>
      <c r="N13" s="279"/>
      <c r="O13" s="279"/>
      <c r="P13" s="279"/>
      <c r="Q13" s="279"/>
      <c r="R13" s="279"/>
      <c r="S13" s="279"/>
    </row>
    <row r="14" spans="1:19" x14ac:dyDescent="0.25">
      <c r="A14" s="74" t="s">
        <v>178</v>
      </c>
      <c r="B14" s="458">
        <v>2</v>
      </c>
      <c r="C14" s="76">
        <v>3.5</v>
      </c>
      <c r="D14" s="281">
        <v>4.5</v>
      </c>
      <c r="E14" s="76">
        <v>4.75</v>
      </c>
      <c r="F14" s="459">
        <v>5.4</v>
      </c>
      <c r="G14" s="76">
        <v>6.5</v>
      </c>
      <c r="H14" s="281">
        <v>7.9</v>
      </c>
      <c r="I14" s="279"/>
      <c r="J14" s="279"/>
      <c r="K14" s="279"/>
      <c r="L14" s="279"/>
      <c r="M14" s="279"/>
      <c r="N14" s="279"/>
      <c r="O14" s="279"/>
      <c r="P14" s="279"/>
      <c r="Q14" s="279"/>
      <c r="R14" s="279"/>
      <c r="S14" s="279"/>
    </row>
    <row r="15" spans="1:19" x14ac:dyDescent="0.25">
      <c r="A15" s="84" t="s">
        <v>48</v>
      </c>
      <c r="B15" s="460">
        <f>SUM(B12:B14)</f>
        <v>28.5</v>
      </c>
      <c r="C15" s="313">
        <f t="shared" ref="C15:H15" si="1">SUM(C12:C14)</f>
        <v>32.650000000000006</v>
      </c>
      <c r="D15" s="311">
        <f t="shared" si="1"/>
        <v>36.565000000000005</v>
      </c>
      <c r="E15" s="313">
        <f t="shared" si="1"/>
        <v>40.196950000000008</v>
      </c>
      <c r="F15" s="461">
        <f t="shared" si="1"/>
        <v>44.391645000000011</v>
      </c>
      <c r="G15" s="313">
        <f t="shared" si="1"/>
        <v>49.390809500000017</v>
      </c>
      <c r="H15" s="311">
        <f t="shared" si="1"/>
        <v>55.079890450000022</v>
      </c>
      <c r="I15" s="279"/>
      <c r="J15" s="279"/>
      <c r="K15" s="279"/>
      <c r="L15" s="279"/>
      <c r="M15" s="279"/>
      <c r="N15" s="279"/>
      <c r="O15" s="279"/>
      <c r="P15" s="279"/>
      <c r="Q15" s="279"/>
      <c r="R15" s="279"/>
      <c r="S15" s="279"/>
    </row>
    <row r="16" spans="1:19" x14ac:dyDescent="0.25">
      <c r="A16" s="84" t="s">
        <v>44</v>
      </c>
      <c r="B16" s="462"/>
      <c r="C16" s="282"/>
      <c r="D16" s="283"/>
      <c r="E16" s="282"/>
      <c r="F16" s="463"/>
      <c r="G16" s="282"/>
      <c r="H16" s="283"/>
      <c r="I16" s="279"/>
      <c r="J16" s="279"/>
      <c r="K16" s="279"/>
      <c r="L16" s="279"/>
      <c r="M16" s="279"/>
      <c r="N16" s="279"/>
      <c r="O16" s="279"/>
      <c r="P16" s="279"/>
      <c r="Q16" s="279"/>
      <c r="R16" s="279"/>
      <c r="S16" s="279"/>
    </row>
    <row r="17" spans="1:19" x14ac:dyDescent="0.25">
      <c r="A17" s="74" t="s">
        <v>169</v>
      </c>
      <c r="B17" s="464">
        <v>13.5</v>
      </c>
      <c r="C17" s="284">
        <f>B17*1.1</f>
        <v>14.850000000000001</v>
      </c>
      <c r="D17" s="285">
        <f t="shared" ref="D17:H17" si="2">C17*1.1</f>
        <v>16.335000000000004</v>
      </c>
      <c r="E17" s="284">
        <f t="shared" si="2"/>
        <v>17.968500000000006</v>
      </c>
      <c r="F17" s="465">
        <f t="shared" si="2"/>
        <v>19.765350000000009</v>
      </c>
      <c r="G17" s="284">
        <f t="shared" si="2"/>
        <v>21.741885000000011</v>
      </c>
      <c r="H17" s="285">
        <f t="shared" si="2"/>
        <v>23.916073500000014</v>
      </c>
      <c r="I17" s="279"/>
      <c r="J17" s="279"/>
      <c r="K17" s="279"/>
      <c r="L17" s="279"/>
      <c r="M17" s="279"/>
      <c r="N17" s="279"/>
      <c r="O17" s="279"/>
      <c r="P17" s="279"/>
      <c r="Q17" s="279"/>
      <c r="R17" s="279"/>
      <c r="S17" s="279"/>
    </row>
    <row r="18" spans="1:19" x14ac:dyDescent="0.25">
      <c r="A18" s="74" t="s">
        <v>119</v>
      </c>
      <c r="B18" s="464">
        <v>0.5</v>
      </c>
      <c r="C18" s="284">
        <f>B18*1.1</f>
        <v>0.55000000000000004</v>
      </c>
      <c r="D18" s="285">
        <f t="shared" ref="D18:H18" si="3">C18*1.1</f>
        <v>0.60500000000000009</v>
      </c>
      <c r="E18" s="284">
        <f t="shared" si="3"/>
        <v>0.6655000000000002</v>
      </c>
      <c r="F18" s="465">
        <f t="shared" si="3"/>
        <v>0.73205000000000031</v>
      </c>
      <c r="G18" s="284">
        <f t="shared" si="3"/>
        <v>0.80525500000000039</v>
      </c>
      <c r="H18" s="285">
        <f t="shared" si="3"/>
        <v>0.88578050000000053</v>
      </c>
      <c r="I18" s="279"/>
      <c r="J18" s="279"/>
      <c r="K18" s="279"/>
      <c r="L18" s="279"/>
      <c r="M18" s="279"/>
      <c r="N18" s="279"/>
      <c r="O18" s="279"/>
      <c r="P18" s="279"/>
      <c r="Q18" s="279"/>
      <c r="R18" s="279"/>
      <c r="S18" s="279"/>
    </row>
    <row r="19" spans="1:19" x14ac:dyDescent="0.25">
      <c r="A19" s="74" t="s">
        <v>129</v>
      </c>
      <c r="B19" s="466">
        <v>1.92</v>
      </c>
      <c r="C19" s="4">
        <v>2</v>
      </c>
      <c r="D19" s="286">
        <v>2</v>
      </c>
      <c r="E19" s="4">
        <v>2.2000000000000002</v>
      </c>
      <c r="F19" s="287">
        <v>2.2999999999999998</v>
      </c>
      <c r="G19" s="4">
        <v>2.7</v>
      </c>
      <c r="H19" s="286">
        <v>2.7</v>
      </c>
      <c r="I19" s="279"/>
      <c r="J19" s="279"/>
      <c r="K19" s="279"/>
      <c r="L19" s="279"/>
      <c r="M19" s="279"/>
      <c r="N19" s="279"/>
      <c r="O19" s="279"/>
      <c r="P19" s="279"/>
      <c r="Q19" s="279"/>
      <c r="R19" s="279"/>
      <c r="S19" s="279"/>
    </row>
    <row r="20" spans="1:19" x14ac:dyDescent="0.25">
      <c r="A20" s="74" t="s">
        <v>264</v>
      </c>
      <c r="B20" s="466">
        <v>1</v>
      </c>
      <c r="C20" s="4">
        <f t="shared" ref="C20:H20" si="4">+B20*1.03</f>
        <v>1.03</v>
      </c>
      <c r="D20" s="286">
        <f t="shared" si="4"/>
        <v>1.0609</v>
      </c>
      <c r="E20" s="4">
        <f t="shared" si="4"/>
        <v>1.092727</v>
      </c>
      <c r="F20" s="287">
        <f t="shared" si="4"/>
        <v>1.1255088100000001</v>
      </c>
      <c r="G20" s="4">
        <f t="shared" si="4"/>
        <v>1.1592740743000001</v>
      </c>
      <c r="H20" s="286">
        <f t="shared" si="4"/>
        <v>1.1940522965290001</v>
      </c>
      <c r="I20" s="279"/>
      <c r="J20" s="279"/>
      <c r="K20" s="279"/>
      <c r="L20" s="279"/>
      <c r="M20" s="279"/>
      <c r="N20" s="279"/>
      <c r="O20" s="279"/>
      <c r="P20" s="279"/>
      <c r="Q20" s="279"/>
      <c r="R20" s="279"/>
      <c r="S20" s="279"/>
    </row>
    <row r="21" spans="1:19" x14ac:dyDescent="0.25">
      <c r="A21" s="74" t="s">
        <v>177</v>
      </c>
      <c r="B21" s="466" t="s">
        <v>179</v>
      </c>
      <c r="C21" s="4">
        <f>+B14</f>
        <v>2</v>
      </c>
      <c r="D21" s="286">
        <f t="shared" ref="D21:H21" si="5">+C14</f>
        <v>3.5</v>
      </c>
      <c r="E21" s="4">
        <f t="shared" si="5"/>
        <v>4.5</v>
      </c>
      <c r="F21" s="287">
        <f t="shared" si="5"/>
        <v>4.75</v>
      </c>
      <c r="G21" s="4">
        <f t="shared" si="5"/>
        <v>5.4</v>
      </c>
      <c r="H21" s="286">
        <f t="shared" si="5"/>
        <v>6.5</v>
      </c>
      <c r="I21" s="279"/>
      <c r="J21" s="279"/>
      <c r="K21" s="279"/>
      <c r="L21" s="279"/>
      <c r="M21" s="279"/>
      <c r="N21" s="279"/>
      <c r="O21" s="279"/>
      <c r="P21" s="279"/>
      <c r="Q21" s="279"/>
      <c r="R21" s="279"/>
      <c r="S21" s="279"/>
    </row>
    <row r="22" spans="1:19" x14ac:dyDescent="0.25">
      <c r="A22" s="288" t="s">
        <v>48</v>
      </c>
      <c r="B22" s="467">
        <f>SUM(B17:B21)</f>
        <v>16.920000000000002</v>
      </c>
      <c r="C22" s="314">
        <f t="shared" ref="C22:H22" si="6">SUM(C17:C21)</f>
        <v>20.430000000000003</v>
      </c>
      <c r="D22" s="312">
        <f t="shared" si="6"/>
        <v>23.500900000000005</v>
      </c>
      <c r="E22" s="314">
        <f t="shared" si="6"/>
        <v>26.426727000000007</v>
      </c>
      <c r="F22" s="468">
        <f t="shared" si="6"/>
        <v>28.67290881000001</v>
      </c>
      <c r="G22" s="314">
        <f t="shared" si="6"/>
        <v>31.806414074300008</v>
      </c>
      <c r="H22" s="312">
        <f t="shared" si="6"/>
        <v>35.195906296529017</v>
      </c>
      <c r="I22" s="279"/>
      <c r="J22" s="279"/>
      <c r="K22" s="279"/>
      <c r="L22" s="279"/>
      <c r="M22" s="279"/>
      <c r="N22" s="279"/>
      <c r="O22" s="279"/>
      <c r="P22" s="279"/>
      <c r="Q22" s="279"/>
      <c r="R22" s="279"/>
      <c r="S22" s="279"/>
    </row>
    <row r="23" spans="1:19" ht="16.5" thickBot="1" x14ac:dyDescent="0.3">
      <c r="A23" s="74"/>
      <c r="B23" s="469"/>
      <c r="C23" s="153"/>
      <c r="D23" s="470"/>
      <c r="E23" s="153"/>
      <c r="F23" s="471"/>
      <c r="G23" s="4"/>
      <c r="H23" s="286"/>
      <c r="I23" s="279"/>
      <c r="J23" s="279"/>
      <c r="K23" s="279"/>
      <c r="L23" s="279"/>
      <c r="M23" s="279"/>
      <c r="N23" s="279"/>
      <c r="O23" s="279"/>
      <c r="P23" s="279"/>
      <c r="Q23" s="279"/>
      <c r="R23" s="279"/>
      <c r="S23" s="279"/>
    </row>
    <row r="24" spans="1:19" ht="16.5" thickBot="1" x14ac:dyDescent="0.3">
      <c r="A24" s="89" t="s">
        <v>115</v>
      </c>
      <c r="B24" s="295">
        <f>+B15-B22</f>
        <v>11.579999999999998</v>
      </c>
      <c r="C24" s="289">
        <f t="shared" ref="C24:H24" si="7">+C15-C22</f>
        <v>12.220000000000002</v>
      </c>
      <c r="D24" s="289">
        <f t="shared" si="7"/>
        <v>13.0641</v>
      </c>
      <c r="E24" s="289">
        <f t="shared" si="7"/>
        <v>13.770223000000001</v>
      </c>
      <c r="F24" s="289">
        <f t="shared" si="7"/>
        <v>15.718736190000001</v>
      </c>
      <c r="G24" s="289">
        <f t="shared" si="7"/>
        <v>17.584395425700009</v>
      </c>
      <c r="H24" s="296">
        <f t="shared" si="7"/>
        <v>19.883984153471005</v>
      </c>
      <c r="I24" s="279"/>
      <c r="J24" s="279"/>
      <c r="K24" s="279"/>
      <c r="L24" s="279"/>
      <c r="M24" s="279"/>
      <c r="N24" s="279"/>
      <c r="O24" s="279"/>
      <c r="P24" s="279"/>
      <c r="Q24" s="279"/>
      <c r="R24" s="279"/>
      <c r="S24" s="279"/>
    </row>
    <row r="25" spans="1:19" x14ac:dyDescent="0.25">
      <c r="A25" s="83"/>
      <c r="B25" s="290"/>
      <c r="C25" s="291"/>
      <c r="D25" s="290"/>
      <c r="E25" s="291"/>
      <c r="F25" s="290"/>
      <c r="G25" s="291"/>
      <c r="H25" s="292"/>
      <c r="I25" s="279"/>
      <c r="J25" s="279"/>
      <c r="K25" s="279"/>
      <c r="L25" s="279"/>
      <c r="M25" s="279"/>
      <c r="N25" s="279"/>
      <c r="O25" s="279"/>
      <c r="P25" s="279"/>
      <c r="Q25" s="279"/>
      <c r="R25" s="279"/>
      <c r="S25" s="279"/>
    </row>
    <row r="26" spans="1:19" x14ac:dyDescent="0.25">
      <c r="A26" s="84" t="s">
        <v>117</v>
      </c>
      <c r="B26" s="290"/>
      <c r="C26" s="291"/>
      <c r="D26" s="290"/>
      <c r="E26" s="291"/>
      <c r="F26" s="290"/>
      <c r="G26" s="291"/>
      <c r="H26" s="292"/>
      <c r="I26" s="279"/>
      <c r="J26" s="279"/>
      <c r="K26" s="279"/>
      <c r="L26" s="279"/>
      <c r="M26" s="279"/>
      <c r="N26" s="279"/>
      <c r="O26" s="279"/>
      <c r="P26" s="279"/>
      <c r="Q26" s="279"/>
      <c r="R26" s="279"/>
      <c r="S26" s="279"/>
    </row>
    <row r="27" spans="1:19" x14ac:dyDescent="0.25">
      <c r="A27" s="74" t="s">
        <v>262</v>
      </c>
      <c r="B27" s="286">
        <v>0.25</v>
      </c>
      <c r="C27" s="4">
        <v>0.25</v>
      </c>
      <c r="D27" s="286">
        <v>0.3</v>
      </c>
      <c r="E27" s="4">
        <v>0.3</v>
      </c>
      <c r="F27" s="286">
        <v>0.3</v>
      </c>
      <c r="G27" s="387">
        <v>0.4</v>
      </c>
      <c r="H27" s="388">
        <v>0.4</v>
      </c>
      <c r="I27" s="279"/>
      <c r="J27" s="279"/>
      <c r="K27" s="279"/>
      <c r="L27" s="279"/>
      <c r="M27" s="279"/>
      <c r="N27" s="279"/>
      <c r="O27" s="279"/>
      <c r="P27" s="279"/>
      <c r="Q27" s="279"/>
      <c r="R27" s="279"/>
      <c r="S27" s="279"/>
    </row>
    <row r="28" spans="1:19" x14ac:dyDescent="0.25">
      <c r="A28" s="74" t="s">
        <v>37</v>
      </c>
      <c r="B28" s="286">
        <v>0.6</v>
      </c>
      <c r="C28" s="4">
        <f>B28</f>
        <v>0.6</v>
      </c>
      <c r="D28" s="286">
        <v>0.8</v>
      </c>
      <c r="E28" s="4">
        <v>0.8</v>
      </c>
      <c r="F28" s="286">
        <v>0.9</v>
      </c>
      <c r="G28" s="4">
        <f t="shared" ref="G28" si="8">F28</f>
        <v>0.9</v>
      </c>
      <c r="H28" s="287">
        <v>0.5</v>
      </c>
      <c r="I28" s="279"/>
      <c r="J28" s="279"/>
      <c r="K28" s="279"/>
      <c r="L28" s="279"/>
      <c r="M28" s="279"/>
      <c r="N28" s="279"/>
      <c r="O28" s="279"/>
      <c r="P28" s="279"/>
      <c r="Q28" s="279"/>
      <c r="R28" s="279"/>
      <c r="S28" s="279"/>
    </row>
    <row r="29" spans="1:19" x14ac:dyDescent="0.25">
      <c r="A29" s="74" t="s">
        <v>20</v>
      </c>
      <c r="B29" s="286">
        <v>0.1</v>
      </c>
      <c r="C29" s="4">
        <f>B29</f>
        <v>0.1</v>
      </c>
      <c r="D29" s="286">
        <f t="shared" ref="D29:H29" si="9">C29</f>
        <v>0.1</v>
      </c>
      <c r="E29" s="4">
        <v>0.13</v>
      </c>
      <c r="F29" s="286">
        <f t="shared" si="9"/>
        <v>0.13</v>
      </c>
      <c r="G29" s="4">
        <f t="shared" si="9"/>
        <v>0.13</v>
      </c>
      <c r="H29" s="287">
        <f t="shared" si="9"/>
        <v>0.13</v>
      </c>
    </row>
    <row r="30" spans="1:19" x14ac:dyDescent="0.25">
      <c r="A30" s="74" t="s">
        <v>273</v>
      </c>
      <c r="B30" s="286">
        <f>+Cost!$C$25*0.13</f>
        <v>0.65</v>
      </c>
      <c r="C30" s="4">
        <f>+Cost!$C$25*0.13</f>
        <v>0.65</v>
      </c>
      <c r="D30" s="286">
        <f>+Cost!$C$25*0.13</f>
        <v>0.65</v>
      </c>
      <c r="E30" s="4">
        <f>+Cost!$C$25*0.13</f>
        <v>0.65</v>
      </c>
      <c r="F30" s="286">
        <f>+Cost!$C$25*0.13</f>
        <v>0.65</v>
      </c>
      <c r="G30" s="4">
        <f>+Cost!$C$25*0.13</f>
        <v>0.65</v>
      </c>
      <c r="H30" s="287">
        <f>+Cost!$C$25*0.13</f>
        <v>0.65</v>
      </c>
    </row>
    <row r="31" spans="1:19" x14ac:dyDescent="0.25">
      <c r="A31" s="74" t="s">
        <v>228</v>
      </c>
      <c r="B31" s="286">
        <f>+'Repayment Schedule'!B21</f>
        <v>2.1039194360306928</v>
      </c>
      <c r="C31" s="286">
        <f>+'Repayment Schedule'!C21</f>
        <v>1.609821327558435</v>
      </c>
      <c r="D31" s="286">
        <f>+'Repayment Schedule'!D21</f>
        <v>1.2083622967813188</v>
      </c>
      <c r="E31" s="286">
        <f>+'Repayment Schedule'!E21</f>
        <v>0.76675736292649133</v>
      </c>
      <c r="F31" s="286">
        <f>+'Repayment Schedule'!F21</f>
        <v>0.2809919356861808</v>
      </c>
      <c r="G31" s="286">
        <f>+'Repayment Schedule'!G21</f>
        <v>0</v>
      </c>
      <c r="H31" s="286">
        <f>+'Repayment Schedule'!H21</f>
        <v>0</v>
      </c>
    </row>
    <row r="32" spans="1:19" x14ac:dyDescent="0.25">
      <c r="A32" s="74" t="s">
        <v>38</v>
      </c>
      <c r="B32" s="286">
        <f>Dep!F12</f>
        <v>3.80375</v>
      </c>
      <c r="C32" s="4">
        <f>Dep!F17</f>
        <v>3.1365000000000003</v>
      </c>
      <c r="D32" s="286">
        <f>Dep!F22</f>
        <v>2.6306437500000004</v>
      </c>
      <c r="E32" s="4">
        <f>Dep!F27</f>
        <v>2.2301710625000002</v>
      </c>
      <c r="F32" s="286">
        <f>Dep!F32</f>
        <v>1.8834476906250002</v>
      </c>
      <c r="G32" s="4">
        <f>Dep!F37</f>
        <v>1.6052525957812502</v>
      </c>
      <c r="H32" s="287">
        <f>Dep!F42</f>
        <v>1.3683545592890625</v>
      </c>
    </row>
    <row r="33" spans="1:8" x14ac:dyDescent="0.25">
      <c r="A33" s="74" t="s">
        <v>126</v>
      </c>
      <c r="B33" s="286">
        <v>0.6</v>
      </c>
      <c r="C33" s="4">
        <f>+B33*1.1</f>
        <v>0.66</v>
      </c>
      <c r="D33" s="286">
        <f t="shared" ref="D33:H33" si="10">+C33*1.1</f>
        <v>0.72600000000000009</v>
      </c>
      <c r="E33" s="4">
        <f t="shared" si="10"/>
        <v>0.7986000000000002</v>
      </c>
      <c r="F33" s="286">
        <f t="shared" si="10"/>
        <v>0.87846000000000024</v>
      </c>
      <c r="G33" s="4">
        <f t="shared" si="10"/>
        <v>0.96630600000000033</v>
      </c>
      <c r="H33" s="287">
        <f t="shared" si="10"/>
        <v>1.0629366000000005</v>
      </c>
    </row>
    <row r="34" spans="1:8" ht="16.5" thickBot="1" x14ac:dyDescent="0.3">
      <c r="A34" s="74" t="s">
        <v>127</v>
      </c>
      <c r="B34" s="286">
        <v>0.5</v>
      </c>
      <c r="C34" s="4">
        <f>+B34*1.1</f>
        <v>0.55000000000000004</v>
      </c>
      <c r="D34" s="286">
        <f t="shared" ref="D34:H34" si="11">+C34*1.1</f>
        <v>0.60500000000000009</v>
      </c>
      <c r="E34" s="4">
        <f t="shared" si="11"/>
        <v>0.6655000000000002</v>
      </c>
      <c r="F34" s="286">
        <f t="shared" si="11"/>
        <v>0.73205000000000031</v>
      </c>
      <c r="G34" s="4">
        <f t="shared" si="11"/>
        <v>0.80525500000000039</v>
      </c>
      <c r="H34" s="287">
        <f t="shared" si="11"/>
        <v>0.88578050000000053</v>
      </c>
    </row>
    <row r="35" spans="1:8" ht="16.5" thickBot="1" x14ac:dyDescent="0.3">
      <c r="A35" s="89" t="s">
        <v>39</v>
      </c>
      <c r="B35" s="289">
        <f>SUM(B27:B34)</f>
        <v>8.607669436030692</v>
      </c>
      <c r="C35" s="289">
        <f t="shared" ref="C35:H35" si="12">SUM(C27:C34)</f>
        <v>7.5563213275584351</v>
      </c>
      <c r="D35" s="289">
        <f t="shared" si="12"/>
        <v>7.0200060467813197</v>
      </c>
      <c r="E35" s="289">
        <f t="shared" si="12"/>
        <v>6.3410284254264919</v>
      </c>
      <c r="F35" s="289">
        <f t="shared" si="12"/>
        <v>5.7549496263111815</v>
      </c>
      <c r="G35" s="289">
        <f t="shared" si="12"/>
        <v>5.4568135957812514</v>
      </c>
      <c r="H35" s="289">
        <f t="shared" si="12"/>
        <v>4.9970716592890643</v>
      </c>
    </row>
    <row r="36" spans="1:8" x14ac:dyDescent="0.25">
      <c r="A36" s="83"/>
      <c r="B36" s="286"/>
      <c r="C36" s="4"/>
      <c r="D36" s="286"/>
      <c r="E36" s="4"/>
      <c r="F36" s="286"/>
      <c r="G36" s="4"/>
      <c r="H36" s="287"/>
    </row>
    <row r="37" spans="1:8" x14ac:dyDescent="0.25">
      <c r="A37" s="288" t="s">
        <v>184</v>
      </c>
      <c r="B37" s="286">
        <f t="shared" ref="B37:H37" si="13">B24-B35</f>
        <v>2.9723305639693063</v>
      </c>
      <c r="C37" s="4">
        <f t="shared" si="13"/>
        <v>4.6636786724415673</v>
      </c>
      <c r="D37" s="286">
        <f t="shared" si="13"/>
        <v>6.0440939532186801</v>
      </c>
      <c r="E37" s="4">
        <f t="shared" si="13"/>
        <v>7.4291945745735095</v>
      </c>
      <c r="F37" s="286">
        <f t="shared" si="13"/>
        <v>9.9637865636888208</v>
      </c>
      <c r="G37" s="4">
        <f t="shared" si="13"/>
        <v>12.127581829918757</v>
      </c>
      <c r="H37" s="287">
        <f t="shared" si="13"/>
        <v>14.88691249418194</v>
      </c>
    </row>
    <row r="38" spans="1:8" ht="16.5" thickBot="1" x14ac:dyDescent="0.3">
      <c r="A38" s="293" t="s">
        <v>290</v>
      </c>
      <c r="B38" s="286">
        <f>'Cap &amp; Tax'!B35</f>
        <v>0</v>
      </c>
      <c r="C38" s="4">
        <f>'Cap &amp; Tax'!C35</f>
        <v>0.21636786724415674</v>
      </c>
      <c r="D38" s="286">
        <f>'Cap &amp; Tax'!D35</f>
        <v>0.25440939532186801</v>
      </c>
      <c r="E38" s="4">
        <f>'Cap &amp; Tax'!E35</f>
        <v>0.34291945745735097</v>
      </c>
      <c r="F38" s="286">
        <f>'Cap &amp; Tax'!F35</f>
        <v>0.5963786563688821</v>
      </c>
      <c r="G38" s="4">
        <f>'Cap &amp; Tax'!G35</f>
        <v>0.81275818299187574</v>
      </c>
      <c r="H38" s="287">
        <f>'Cap &amp; Tax'!H35</f>
        <v>1.0886912494181942</v>
      </c>
    </row>
    <row r="39" spans="1:8" ht="16.5" thickBot="1" x14ac:dyDescent="0.3">
      <c r="A39" s="294" t="s">
        <v>116</v>
      </c>
      <c r="B39" s="295">
        <f>B37-B38</f>
        <v>2.9723305639693063</v>
      </c>
      <c r="C39" s="253">
        <f t="shared" ref="C39:H39" si="14">C37-C38</f>
        <v>4.4473108051974108</v>
      </c>
      <c r="D39" s="289">
        <f t="shared" si="14"/>
        <v>5.7896845578968126</v>
      </c>
      <c r="E39" s="253">
        <f t="shared" si="14"/>
        <v>7.0862751171161582</v>
      </c>
      <c r="F39" s="289">
        <f t="shared" si="14"/>
        <v>9.3674079073199383</v>
      </c>
      <c r="G39" s="253">
        <f t="shared" si="14"/>
        <v>11.314823646926881</v>
      </c>
      <c r="H39" s="296">
        <f t="shared" si="14"/>
        <v>13.798221244763747</v>
      </c>
    </row>
    <row r="40" spans="1:8" x14ac:dyDescent="0.25">
      <c r="B40" s="297"/>
      <c r="C40" s="297"/>
      <c r="D40" s="297"/>
      <c r="E40" s="297"/>
      <c r="F40" s="297"/>
      <c r="G40" s="297"/>
      <c r="H40" s="297"/>
    </row>
  </sheetData>
  <sheetProtection sheet="1" objects="1" scenarios="1" selectLockedCells="1" selectUnlockedCells="1"/>
  <mergeCells count="5">
    <mergeCell ref="G6:H6"/>
    <mergeCell ref="A2:F2"/>
    <mergeCell ref="A1:F1"/>
    <mergeCell ref="E6:F6"/>
    <mergeCell ref="B7:F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zoomScaleNormal="100" workbookViewId="0">
      <selection activeCell="E13" sqref="E13"/>
    </sheetView>
  </sheetViews>
  <sheetFormatPr defaultRowHeight="15.75" x14ac:dyDescent="0.25"/>
  <cols>
    <col min="1" max="1" width="47.85546875" style="278" bestFit="1" customWidth="1"/>
    <col min="2" max="2" width="14.85546875" style="278" bestFit="1" customWidth="1"/>
    <col min="3" max="8" width="16.7109375" style="278" bestFit="1" customWidth="1"/>
    <col min="9" max="9" width="9.140625" style="278"/>
    <col min="10" max="10" width="12.5703125" style="278" bestFit="1" customWidth="1"/>
    <col min="11" max="13" width="10.85546875" style="278" bestFit="1" customWidth="1"/>
    <col min="14" max="14" width="11.140625" style="278" bestFit="1" customWidth="1"/>
    <col min="15" max="15" width="10.85546875" style="278" bestFit="1" customWidth="1"/>
    <col min="16" max="16" width="11.140625" style="278" bestFit="1" customWidth="1"/>
    <col min="17" max="16384" width="9.140625" style="278"/>
  </cols>
  <sheetData>
    <row r="1" spans="1:10" x14ac:dyDescent="0.25">
      <c r="A1" s="496" t="str">
        <f>+'P &amp; L'!A1:H1</f>
        <v>M/s SMJ Interiors</v>
      </c>
      <c r="B1" s="496"/>
      <c r="C1" s="496"/>
      <c r="D1" s="496"/>
      <c r="E1" s="496"/>
      <c r="F1" s="496"/>
      <c r="G1" s="487"/>
      <c r="H1" s="487"/>
    </row>
    <row r="2" spans="1:10" x14ac:dyDescent="0.25">
      <c r="A2" s="496" t="str">
        <f>+'P &amp; L'!A2:H2</f>
        <v>(UPVC Window Making Plant)</v>
      </c>
      <c r="B2" s="496"/>
      <c r="C2" s="496"/>
      <c r="D2" s="496"/>
      <c r="E2" s="496"/>
      <c r="F2" s="496"/>
      <c r="G2" s="487"/>
      <c r="H2" s="487"/>
    </row>
    <row r="3" spans="1:10" x14ac:dyDescent="0.25">
      <c r="A3" s="279"/>
      <c r="B3" s="298"/>
      <c r="C3" s="298"/>
      <c r="D3" s="298"/>
      <c r="E3" s="299"/>
      <c r="F3" s="264" t="s">
        <v>211</v>
      </c>
      <c r="G3" s="298"/>
      <c r="I3" s="279"/>
      <c r="J3" s="279"/>
    </row>
    <row r="4" spans="1:10" x14ac:dyDescent="0.25">
      <c r="A4" s="512" t="s">
        <v>0</v>
      </c>
      <c r="B4" s="512"/>
      <c r="C4" s="512"/>
      <c r="D4" s="512"/>
      <c r="E4" s="512"/>
      <c r="F4" s="512"/>
      <c r="G4" s="486"/>
      <c r="H4" s="486"/>
      <c r="I4" s="279"/>
      <c r="J4" s="279"/>
    </row>
    <row r="5" spans="1:10" x14ac:dyDescent="0.25">
      <c r="A5" s="298"/>
      <c r="B5" s="298"/>
      <c r="C5" s="298"/>
      <c r="D5" s="298"/>
      <c r="E5" s="298"/>
      <c r="F5" s="298"/>
      <c r="G5" s="298"/>
      <c r="H5" s="279"/>
      <c r="I5" s="279"/>
      <c r="J5" s="279"/>
    </row>
    <row r="6" spans="1:10" ht="16.5" thickBot="1" x14ac:dyDescent="0.3">
      <c r="A6" s="64"/>
      <c r="B6" s="64"/>
      <c r="C6" s="64"/>
      <c r="D6" s="64"/>
      <c r="E6" s="508" t="s">
        <v>1</v>
      </c>
      <c r="F6" s="508"/>
      <c r="I6" s="279"/>
      <c r="J6" s="279"/>
    </row>
    <row r="7" spans="1:10" ht="16.5" thickBot="1" x14ac:dyDescent="0.3">
      <c r="A7" s="69" t="s">
        <v>2</v>
      </c>
      <c r="B7" s="509" t="s">
        <v>3</v>
      </c>
      <c r="C7" s="510"/>
      <c r="D7" s="510"/>
      <c r="E7" s="510"/>
      <c r="F7" s="511"/>
      <c r="G7" s="251"/>
      <c r="H7" s="252"/>
      <c r="I7" s="279"/>
      <c r="J7" s="279"/>
    </row>
    <row r="8" spans="1:10" ht="16.5" thickBot="1" x14ac:dyDescent="0.3">
      <c r="A8" s="259"/>
      <c r="B8" s="179" t="s">
        <v>4</v>
      </c>
      <c r="C8" s="179" t="s">
        <v>5</v>
      </c>
      <c r="D8" s="179" t="s">
        <v>6</v>
      </c>
      <c r="E8" s="179" t="s">
        <v>7</v>
      </c>
      <c r="F8" s="179" t="s">
        <v>8</v>
      </c>
      <c r="G8" s="179" t="s">
        <v>9</v>
      </c>
      <c r="H8" s="7" t="s">
        <v>10</v>
      </c>
      <c r="I8" s="2"/>
      <c r="J8" s="2"/>
    </row>
    <row r="9" spans="1:10" x14ac:dyDescent="0.25">
      <c r="A9" s="300" t="s">
        <v>11</v>
      </c>
      <c r="B9" s="83"/>
      <c r="C9" s="83"/>
      <c r="D9" s="83"/>
      <c r="E9" s="83"/>
      <c r="F9" s="83"/>
      <c r="G9" s="83"/>
      <c r="H9" s="448"/>
      <c r="I9" s="279"/>
      <c r="J9" s="279"/>
    </row>
    <row r="10" spans="1:10" x14ac:dyDescent="0.25">
      <c r="A10" s="84" t="s">
        <v>236</v>
      </c>
      <c r="B10" s="83"/>
      <c r="C10" s="83"/>
      <c r="D10" s="83"/>
      <c r="E10" s="83"/>
      <c r="F10" s="83"/>
      <c r="G10" s="83"/>
      <c r="H10" s="82"/>
      <c r="I10" s="279"/>
      <c r="J10" s="279"/>
    </row>
    <row r="11" spans="1:10" x14ac:dyDescent="0.25">
      <c r="A11" s="293" t="s">
        <v>12</v>
      </c>
      <c r="B11" s="123">
        <f>'Cap &amp; Tax'!B18</f>
        <v>6.6223305639693066</v>
      </c>
      <c r="C11" s="123">
        <f>'Cap &amp; Tax'!C18</f>
        <v>10.319641369166717</v>
      </c>
      <c r="D11" s="123">
        <f>'Cap &amp; Tax'!D18</f>
        <v>15.10932592706353</v>
      </c>
      <c r="E11" s="123">
        <f>'Cap &amp; Tax'!E18</f>
        <v>20.945601044179689</v>
      </c>
      <c r="F11" s="123">
        <f>'Cap &amp; Tax'!F18</f>
        <v>28.813008951499626</v>
      </c>
      <c r="G11" s="123">
        <f>'Cap &amp; Tax'!G18</f>
        <v>38.627832598426508</v>
      </c>
      <c r="H11" s="124">
        <f>'Cap &amp; Tax'!H18</f>
        <v>50.426053843190253</v>
      </c>
      <c r="I11" s="279"/>
      <c r="J11" s="279"/>
    </row>
    <row r="12" spans="1:10" x14ac:dyDescent="0.25">
      <c r="A12" s="84" t="s">
        <v>237</v>
      </c>
      <c r="B12" s="123"/>
      <c r="C12" s="123"/>
      <c r="D12" s="123"/>
      <c r="E12" s="123"/>
      <c r="F12" s="123"/>
      <c r="G12" s="123"/>
      <c r="H12" s="124"/>
      <c r="I12" s="279"/>
      <c r="J12" s="279"/>
    </row>
    <row r="13" spans="1:10" x14ac:dyDescent="0.25">
      <c r="A13" s="293" t="s">
        <v>13</v>
      </c>
      <c r="B13" s="123">
        <f>+'Repayment Schedule'!B24</f>
        <v>18.631713618365904</v>
      </c>
      <c r="C13" s="123">
        <f>+'Repayment Schedule'!C24</f>
        <v>14.617123310594756</v>
      </c>
      <c r="D13" s="123">
        <f>+'Repayment Schedule'!D24</f>
        <v>10.201073972046494</v>
      </c>
      <c r="E13" s="123">
        <f>+'Repayment Schedule'!E24</f>
        <v>5.3434196996434036</v>
      </c>
      <c r="F13" s="123">
        <f>+'Repayment Schedule'!F24</f>
        <v>0</v>
      </c>
      <c r="G13" s="123">
        <f>+'Repayment Schedule'!G24</f>
        <v>0</v>
      </c>
      <c r="H13" s="124">
        <f>+'Repayment Schedule'!H24</f>
        <v>0</v>
      </c>
      <c r="I13" s="279"/>
      <c r="J13" s="279"/>
    </row>
    <row r="14" spans="1:10" x14ac:dyDescent="0.25">
      <c r="A14" s="293" t="s">
        <v>128</v>
      </c>
      <c r="B14" s="123">
        <v>5</v>
      </c>
      <c r="C14" s="123">
        <v>5</v>
      </c>
      <c r="D14" s="123">
        <v>5</v>
      </c>
      <c r="E14" s="123">
        <v>5</v>
      </c>
      <c r="F14" s="123">
        <v>5</v>
      </c>
      <c r="G14" s="123">
        <v>5</v>
      </c>
      <c r="H14" s="124">
        <v>5</v>
      </c>
      <c r="I14" s="279"/>
      <c r="J14" s="279"/>
    </row>
    <row r="15" spans="1:10" x14ac:dyDescent="0.25">
      <c r="A15" s="84" t="s">
        <v>238</v>
      </c>
      <c r="B15" s="123"/>
      <c r="C15" s="123"/>
      <c r="D15" s="123"/>
      <c r="E15" s="123"/>
      <c r="F15" s="123"/>
      <c r="G15" s="123"/>
      <c r="H15" s="124"/>
      <c r="I15" s="279"/>
      <c r="J15" s="279"/>
    </row>
    <row r="16" spans="1:10" x14ac:dyDescent="0.25">
      <c r="A16" s="293" t="s">
        <v>231</v>
      </c>
      <c r="B16" s="123">
        <v>0.8</v>
      </c>
      <c r="C16" s="123">
        <v>0.65</v>
      </c>
      <c r="D16" s="123">
        <v>1.2</v>
      </c>
      <c r="E16" s="123">
        <v>1.45</v>
      </c>
      <c r="F16" s="123">
        <v>1.65</v>
      </c>
      <c r="G16" s="123">
        <v>1.8</v>
      </c>
      <c r="H16" s="124">
        <v>2.1</v>
      </c>
      <c r="I16" s="279"/>
      <c r="J16" s="279"/>
    </row>
    <row r="17" spans="1:17" ht="16.5" thickBot="1" x14ac:dyDescent="0.3">
      <c r="A17" s="293" t="s">
        <v>14</v>
      </c>
      <c r="B17" s="123">
        <f>'P &amp; L'!B17/365*30</f>
        <v>1.1095890410958904</v>
      </c>
      <c r="C17" s="123">
        <f>'P &amp; L'!C17/365*30</f>
        <v>1.2205479452054795</v>
      </c>
      <c r="D17" s="123">
        <f>'P &amp; L'!D17/365*30</f>
        <v>1.3426027397260276</v>
      </c>
      <c r="E17" s="123">
        <f>'P &amp; L'!E17/365*30</f>
        <v>1.4768630136986305</v>
      </c>
      <c r="F17" s="123">
        <f>'P &amp; L'!F17/365*30</f>
        <v>1.624549315068494</v>
      </c>
      <c r="G17" s="123">
        <f>'P &amp; L'!G17/365*30</f>
        <v>1.7870042465753433</v>
      </c>
      <c r="H17" s="127">
        <f>'P &amp; L'!H17/365*30</f>
        <v>1.9657046712328776</v>
      </c>
      <c r="I17" s="279"/>
      <c r="J17" s="279"/>
    </row>
    <row r="18" spans="1:17" ht="16.5" thickBot="1" x14ac:dyDescent="0.3">
      <c r="A18" s="301" t="s">
        <v>15</v>
      </c>
      <c r="B18" s="302">
        <f t="shared" ref="B18:H18" si="0">SUM(B11:B17)</f>
        <v>32.163633223431098</v>
      </c>
      <c r="C18" s="302">
        <f t="shared" si="0"/>
        <v>31.807312624966951</v>
      </c>
      <c r="D18" s="302">
        <f t="shared" si="0"/>
        <v>32.853002638836053</v>
      </c>
      <c r="E18" s="302">
        <f t="shared" si="0"/>
        <v>34.215883757521731</v>
      </c>
      <c r="F18" s="302">
        <f t="shared" si="0"/>
        <v>37.087558266568116</v>
      </c>
      <c r="G18" s="302">
        <f t="shared" si="0"/>
        <v>47.214836845001848</v>
      </c>
      <c r="H18" s="303">
        <f t="shared" si="0"/>
        <v>59.491758514423132</v>
      </c>
      <c r="I18" s="279"/>
      <c r="J18" s="304"/>
      <c r="K18" s="304"/>
      <c r="L18" s="304"/>
      <c r="M18" s="304"/>
      <c r="N18" s="304"/>
      <c r="O18" s="304"/>
      <c r="P18" s="304"/>
      <c r="Q18" s="304"/>
    </row>
    <row r="19" spans="1:17" x14ac:dyDescent="0.25">
      <c r="A19" s="83"/>
      <c r="B19" s="447"/>
      <c r="C19" s="447"/>
      <c r="D19" s="447"/>
      <c r="E19" s="447"/>
      <c r="F19" s="447"/>
      <c r="G19" s="447"/>
      <c r="H19" s="305"/>
      <c r="I19" s="279"/>
      <c r="J19" s="304"/>
    </row>
    <row r="20" spans="1:17" x14ac:dyDescent="0.25">
      <c r="A20" s="300" t="s">
        <v>16</v>
      </c>
      <c r="B20" s="123"/>
      <c r="C20" s="123"/>
      <c r="D20" s="123"/>
      <c r="E20" s="123"/>
      <c r="F20" s="123"/>
      <c r="G20" s="123"/>
      <c r="H20" s="124"/>
      <c r="J20" s="306"/>
    </row>
    <row r="21" spans="1:17" x14ac:dyDescent="0.25">
      <c r="A21" s="84" t="s">
        <v>239</v>
      </c>
      <c r="B21" s="123"/>
      <c r="C21" s="123"/>
      <c r="D21" s="123"/>
      <c r="E21" s="123"/>
      <c r="F21" s="123"/>
      <c r="G21" s="123"/>
      <c r="H21" s="124"/>
    </row>
    <row r="22" spans="1:17" x14ac:dyDescent="0.25">
      <c r="A22" s="83"/>
      <c r="B22" s="123">
        <f>Dep!F11</f>
        <v>24.65</v>
      </c>
      <c r="C22" s="123">
        <f>Dep!F16</f>
        <v>20.846249999999998</v>
      </c>
      <c r="D22" s="123">
        <f>Dep!F21</f>
        <v>17.709749999999996</v>
      </c>
      <c r="E22" s="123">
        <f>Dep!F26</f>
        <v>15.079106249999995</v>
      </c>
      <c r="F22" s="123">
        <f>Dep!F31</f>
        <v>12.848935187499995</v>
      </c>
      <c r="G22" s="123">
        <f>Dep!F36</f>
        <v>10.965487496874996</v>
      </c>
      <c r="H22" s="124">
        <f>Dep!F41</f>
        <v>9.3602349010937456</v>
      </c>
    </row>
    <row r="23" spans="1:17" x14ac:dyDescent="0.25">
      <c r="A23" s="83" t="s">
        <v>17</v>
      </c>
      <c r="B23" s="123">
        <f>Dep!F12</f>
        <v>3.80375</v>
      </c>
      <c r="C23" s="123">
        <f>Dep!F17</f>
        <v>3.1365000000000003</v>
      </c>
      <c r="D23" s="123">
        <f>Dep!F22</f>
        <v>2.6306437500000004</v>
      </c>
      <c r="E23" s="123">
        <f>Dep!F27</f>
        <v>2.2301710625000002</v>
      </c>
      <c r="F23" s="123">
        <f>Dep!F32</f>
        <v>1.8834476906250002</v>
      </c>
      <c r="G23" s="123">
        <f>Dep!F37</f>
        <v>1.6052525957812502</v>
      </c>
      <c r="H23" s="124">
        <f>Dep!F42</f>
        <v>1.3683545592890625</v>
      </c>
    </row>
    <row r="24" spans="1:17" x14ac:dyDescent="0.25">
      <c r="A24" s="83" t="s">
        <v>233</v>
      </c>
      <c r="B24" s="307">
        <f>B22-B23</f>
        <v>20.846249999999998</v>
      </c>
      <c r="C24" s="307">
        <f t="shared" ref="C24:H24" si="1">C22-C23</f>
        <v>17.709749999999996</v>
      </c>
      <c r="D24" s="307">
        <f t="shared" si="1"/>
        <v>15.079106249999995</v>
      </c>
      <c r="E24" s="307">
        <f t="shared" si="1"/>
        <v>12.848935187499995</v>
      </c>
      <c r="F24" s="307">
        <f t="shared" si="1"/>
        <v>10.965487496874996</v>
      </c>
      <c r="G24" s="307">
        <f t="shared" si="1"/>
        <v>9.3602349010937456</v>
      </c>
      <c r="H24" s="308">
        <f t="shared" si="1"/>
        <v>7.9918803418046833</v>
      </c>
    </row>
    <row r="25" spans="1:17" x14ac:dyDescent="0.25">
      <c r="A25" s="83"/>
      <c r="B25" s="123"/>
      <c r="C25" s="123"/>
      <c r="D25" s="123"/>
      <c r="E25" s="123"/>
      <c r="F25" s="123"/>
      <c r="G25" s="123"/>
      <c r="H25" s="124"/>
    </row>
    <row r="26" spans="1:17" x14ac:dyDescent="0.25">
      <c r="A26" s="84" t="s">
        <v>240</v>
      </c>
      <c r="B26" s="123">
        <v>0</v>
      </c>
      <c r="C26" s="123">
        <f>+B26+'Cash Flow Statement'!D20</f>
        <v>0</v>
      </c>
      <c r="D26" s="123">
        <f>+C26+'Cash Flow Statement'!E20</f>
        <v>1</v>
      </c>
      <c r="E26" s="123">
        <f>+D26+'Cash Flow Statement'!F20</f>
        <v>2.5</v>
      </c>
      <c r="F26" s="123">
        <f>+E26+'Cash Flow Statement'!G20</f>
        <v>4</v>
      </c>
      <c r="G26" s="123">
        <f>+F26+'Cash Flow Statement'!H20</f>
        <v>5.5</v>
      </c>
      <c r="H26" s="124">
        <f>+G26+'Cash Flow Statement'!I20</f>
        <v>7</v>
      </c>
      <c r="J26" s="306"/>
    </row>
    <row r="27" spans="1:17" x14ac:dyDescent="0.25">
      <c r="A27" s="83"/>
      <c r="B27" s="123"/>
      <c r="C27" s="123"/>
      <c r="D27" s="123"/>
      <c r="E27" s="123"/>
      <c r="F27" s="123"/>
      <c r="G27" s="123"/>
      <c r="H27" s="124"/>
    </row>
    <row r="28" spans="1:17" x14ac:dyDescent="0.25">
      <c r="A28" s="84" t="s">
        <v>241</v>
      </c>
      <c r="B28" s="123"/>
      <c r="C28" s="123"/>
      <c r="D28" s="123"/>
      <c r="E28" s="123"/>
      <c r="F28" s="123"/>
      <c r="G28" s="123"/>
      <c r="H28" s="124"/>
    </row>
    <row r="29" spans="1:17" x14ac:dyDescent="0.25">
      <c r="A29" s="83" t="s">
        <v>18</v>
      </c>
      <c r="B29" s="123">
        <f>('P &amp; L'!B13+'P &amp; L'!B12)/365*45</f>
        <v>3.2671232876712324</v>
      </c>
      <c r="C29" s="123">
        <f>('P &amp; L'!C13+'P &amp; L'!C12)/365*45</f>
        <v>3.5938356164383563</v>
      </c>
      <c r="D29" s="123">
        <f>('P &amp; L'!D13+'P &amp; L'!D12)/365*45</f>
        <v>3.9532191780821924</v>
      </c>
      <c r="E29" s="123">
        <f>('P &amp; L'!E13+'P &amp; L'!E12)/365*45</f>
        <v>4.3701719178082206</v>
      </c>
      <c r="F29" s="123">
        <f>('P &amp; L'!F13+'P &amp; L'!F12)/365*45</f>
        <v>4.8071891095890429</v>
      </c>
      <c r="G29" s="123">
        <f>('P &amp; L'!G13+'P &amp; L'!G12)/365*45</f>
        <v>5.2879080205479472</v>
      </c>
      <c r="H29" s="124">
        <f>('P &amp; L'!H13+'P &amp; L'!H12)/365*45</f>
        <v>5.8166988226027421</v>
      </c>
    </row>
    <row r="30" spans="1:17" x14ac:dyDescent="0.25">
      <c r="A30" s="83" t="s">
        <v>19</v>
      </c>
      <c r="B30" s="123">
        <f>'Cash Flow Statement'!C33</f>
        <v>6.0502599357598665</v>
      </c>
      <c r="C30" s="123">
        <f>'Cash Flow Statement'!D33</f>
        <v>7.0037270085285961</v>
      </c>
      <c r="D30" s="123">
        <f>'Cash Flow Statement'!E33</f>
        <v>8.3206772107538587</v>
      </c>
      <c r="E30" s="123">
        <f>'Cash Flow Statement'!F33</f>
        <v>9.7467766522134998</v>
      </c>
      <c r="F30" s="123">
        <f>'Cash Flow Statement'!G33</f>
        <v>11.914881660104076</v>
      </c>
      <c r="G30" s="123">
        <f>'Cash Flow Statement'!H33</f>
        <v>20.566693923360152</v>
      </c>
      <c r="H30" s="124">
        <f>'Cash Flow Statement'!I33</f>
        <v>30.7831793500157</v>
      </c>
    </row>
    <row r="31" spans="1:17" x14ac:dyDescent="0.25">
      <c r="A31" s="309" t="s">
        <v>181</v>
      </c>
      <c r="B31" s="123">
        <f>+'P &amp; L'!B14</f>
        <v>2</v>
      </c>
      <c r="C31" s="123">
        <f>+'P &amp; L'!C14</f>
        <v>3.5</v>
      </c>
      <c r="D31" s="123">
        <f>+'P &amp; L'!D14</f>
        <v>4.5</v>
      </c>
      <c r="E31" s="123">
        <f>+'P &amp; L'!E14</f>
        <v>4.75</v>
      </c>
      <c r="F31" s="123">
        <f>+'P &amp; L'!F14</f>
        <v>5.4</v>
      </c>
      <c r="G31" s="123">
        <f>+'P &amp; L'!G14</f>
        <v>6.5</v>
      </c>
      <c r="H31" s="124">
        <f>+'P &amp; L'!H14</f>
        <v>7.9</v>
      </c>
    </row>
    <row r="32" spans="1:17" x14ac:dyDescent="0.25">
      <c r="A32" s="83"/>
      <c r="B32" s="123"/>
      <c r="C32" s="123"/>
      <c r="D32" s="123"/>
      <c r="E32" s="123"/>
      <c r="F32" s="123"/>
      <c r="G32" s="123"/>
      <c r="H32" s="124"/>
    </row>
    <row r="33" spans="1:8" x14ac:dyDescent="0.25">
      <c r="A33" s="84" t="s">
        <v>234</v>
      </c>
      <c r="B33" s="123"/>
      <c r="C33" s="123"/>
      <c r="D33" s="123"/>
      <c r="E33" s="123"/>
      <c r="F33" s="123"/>
      <c r="G33" s="123"/>
      <c r="H33" s="124"/>
    </row>
    <row r="34" spans="1:8" x14ac:dyDescent="0.25">
      <c r="A34" s="83" t="s">
        <v>235</v>
      </c>
      <c r="B34" s="123">
        <v>0</v>
      </c>
      <c r="C34" s="123">
        <v>0</v>
      </c>
      <c r="D34" s="123">
        <v>0</v>
      </c>
      <c r="E34" s="123">
        <v>0</v>
      </c>
      <c r="F34" s="131">
        <v>0</v>
      </c>
      <c r="G34" s="131">
        <v>0</v>
      </c>
      <c r="H34" s="132">
        <v>0</v>
      </c>
    </row>
    <row r="35" spans="1:8" ht="16.5" thickBot="1" x14ac:dyDescent="0.3">
      <c r="A35" s="83"/>
      <c r="B35" s="125"/>
      <c r="C35" s="125"/>
      <c r="D35" s="125"/>
      <c r="E35" s="125"/>
      <c r="F35" s="125"/>
      <c r="G35" s="125"/>
      <c r="H35" s="127"/>
    </row>
    <row r="36" spans="1:8" ht="16.5" thickBot="1" x14ac:dyDescent="0.3">
      <c r="A36" s="179" t="s">
        <v>15</v>
      </c>
      <c r="B36" s="302">
        <f t="shared" ref="B36:H36" si="2">SUM(B24:B34)</f>
        <v>32.163633223431098</v>
      </c>
      <c r="C36" s="302">
        <f t="shared" si="2"/>
        <v>31.807312624966947</v>
      </c>
      <c r="D36" s="302">
        <f t="shared" si="2"/>
        <v>32.853002638836045</v>
      </c>
      <c r="E36" s="302">
        <f t="shared" si="2"/>
        <v>34.215883757521716</v>
      </c>
      <c r="F36" s="302">
        <f t="shared" si="2"/>
        <v>37.087558266568116</v>
      </c>
      <c r="G36" s="302">
        <f t="shared" si="2"/>
        <v>47.214836845001841</v>
      </c>
      <c r="H36" s="303">
        <f t="shared" si="2"/>
        <v>59.491758514423125</v>
      </c>
    </row>
    <row r="37" spans="1:8" x14ac:dyDescent="0.25">
      <c r="A37" s="62"/>
      <c r="B37" s="62"/>
      <c r="C37" s="62"/>
      <c r="D37" s="62"/>
      <c r="E37" s="62"/>
      <c r="F37" s="62"/>
      <c r="G37" s="62"/>
      <c r="H37" s="62"/>
    </row>
    <row r="38" spans="1:8" x14ac:dyDescent="0.25">
      <c r="A38" s="310"/>
      <c r="B38" s="76">
        <f t="shared" ref="B38:H38" si="3">+B36-B18</f>
        <v>0</v>
      </c>
      <c r="C38" s="76">
        <f t="shared" si="3"/>
        <v>0</v>
      </c>
      <c r="D38" s="76">
        <f t="shared" si="3"/>
        <v>0</v>
      </c>
      <c r="E38" s="76">
        <f t="shared" si="3"/>
        <v>0</v>
      </c>
      <c r="F38" s="76">
        <f t="shared" si="3"/>
        <v>0</v>
      </c>
      <c r="G38" s="76">
        <f t="shared" si="3"/>
        <v>0</v>
      </c>
      <c r="H38" s="76">
        <f t="shared" si="3"/>
        <v>0</v>
      </c>
    </row>
    <row r="39" spans="1:8" x14ac:dyDescent="0.25">
      <c r="A39" s="279"/>
      <c r="B39" s="1"/>
      <c r="C39" s="1"/>
      <c r="D39" s="1"/>
      <c r="E39" s="1"/>
      <c r="F39" s="1"/>
      <c r="G39" s="1"/>
      <c r="H39" s="1"/>
    </row>
    <row r="41" spans="1:8" x14ac:dyDescent="0.25">
      <c r="B41" s="386"/>
      <c r="C41" s="386"/>
      <c r="D41" s="386"/>
      <c r="E41" s="386"/>
      <c r="F41" s="386"/>
      <c r="G41" s="386"/>
      <c r="H41" s="386"/>
    </row>
    <row r="42" spans="1:8" x14ac:dyDescent="0.25">
      <c r="B42" s="386"/>
      <c r="C42" s="386"/>
      <c r="D42" s="386"/>
      <c r="E42" s="386"/>
      <c r="F42" s="386"/>
      <c r="G42" s="386"/>
      <c r="H42" s="386"/>
    </row>
    <row r="43" spans="1:8" x14ac:dyDescent="0.25">
      <c r="B43" s="386"/>
      <c r="C43" s="386"/>
      <c r="D43" s="386"/>
      <c r="E43" s="386"/>
      <c r="F43" s="386"/>
      <c r="G43" s="386"/>
      <c r="H43" s="386"/>
    </row>
    <row r="44" spans="1:8" x14ac:dyDescent="0.25">
      <c r="B44" s="386"/>
      <c r="C44" s="386"/>
      <c r="D44" s="386"/>
      <c r="E44" s="386"/>
      <c r="F44" s="386"/>
      <c r="G44" s="386"/>
    </row>
    <row r="45" spans="1:8" x14ac:dyDescent="0.25">
      <c r="B45" s="386"/>
      <c r="C45" s="386"/>
      <c r="D45" s="386"/>
      <c r="E45" s="386"/>
      <c r="F45" s="386"/>
      <c r="G45" s="386"/>
    </row>
  </sheetData>
  <sheetProtection sheet="1" objects="1" scenarios="1" selectLockedCells="1" selectUnlockedCells="1"/>
  <mergeCells count="5">
    <mergeCell ref="E6:F6"/>
    <mergeCell ref="B7:F7"/>
    <mergeCell ref="A4:F4"/>
    <mergeCell ref="A2:F2"/>
    <mergeCell ref="A1:F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vt:i4>
      </vt:variant>
    </vt:vector>
  </HeadingPairs>
  <TitlesOfParts>
    <vt:vector size="18" baseType="lpstr">
      <vt:lpstr>Cover Page</vt:lpstr>
      <vt:lpstr>INDEX</vt:lpstr>
      <vt:lpstr>PROJECT AT GLANCE</vt:lpstr>
      <vt:lpstr>PRAMOTOR PROFILE</vt:lpstr>
      <vt:lpstr>ACTIVITY</vt:lpstr>
      <vt:lpstr>Cost</vt:lpstr>
      <vt:lpstr>Repayment Schedule</vt:lpstr>
      <vt:lpstr>P &amp; L</vt:lpstr>
      <vt:lpstr>BS</vt:lpstr>
      <vt:lpstr>Cash Flow Statement</vt:lpstr>
      <vt:lpstr>Cap &amp; Tax</vt:lpstr>
      <vt:lpstr>Dep</vt:lpstr>
      <vt:lpstr>Structural Ratios</vt:lpstr>
      <vt:lpstr>BEP</vt:lpstr>
      <vt:lpstr>Assumptions</vt:lpstr>
      <vt:lpstr>Cost!Print_Area</vt:lpstr>
      <vt:lpstr>INDEX!Print_Area</vt:lpstr>
      <vt:lpstr>'PRAMOTOR PROFILE'!Print_Area</vt:lpstr>
    </vt:vector>
  </TitlesOfParts>
  <Company>Unknown Organization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cayogesh04@gmail.com</cp:lastModifiedBy>
  <cp:lastPrinted>2018-08-04T07:11:02Z</cp:lastPrinted>
  <dcterms:created xsi:type="dcterms:W3CDTF">2001-12-31T19:28:45Z</dcterms:created>
  <dcterms:modified xsi:type="dcterms:W3CDTF">2018-12-20T18:45:50Z</dcterms:modified>
  <cp:contentStatus/>
</cp:coreProperties>
</file>