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388" yWindow="-12" windowWidth="14424" windowHeight="12756" tabRatio="517"/>
  </bookViews>
  <sheets>
    <sheet name="ELM-30-A" sheetId="1" r:id="rId1"/>
    <sheet name="Progress Photos-30-A" sheetId="2" r:id="rId2"/>
    <sheet name="ELM-30-B" sheetId="5" r:id="rId3"/>
    <sheet name="Progress Photos-30-B" sheetId="6" r:id="rId4"/>
    <sheet name="Orig Contractual Dates" sheetId="3" state="hidden" r:id="rId5"/>
    <sheet name="CTC Calculation" sheetId="4" state="hidden" r:id="rId6"/>
  </sheets>
  <definedNames>
    <definedName name="_xlnm.Print_Area" localSheetId="0">'ELM-30-A'!$C$2:$S$60</definedName>
    <definedName name="_xlnm.Print_Area" localSheetId="2">'ELM-30-B'!$C$2:$S$44</definedName>
    <definedName name="_xlnm.Print_Area" localSheetId="1">'Progress Photos-30-A'!$B$2:$R$75</definedName>
    <definedName name="_xlnm.Print_Area" localSheetId="3">'Progress Photos-30-B'!$B$2:$R$39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5" i="5" l="1"/>
  <c r="Q14" i="5"/>
  <c r="P16" i="5"/>
  <c r="P15" i="5"/>
  <c r="Q57" i="1"/>
  <c r="Q11" i="5" l="1"/>
  <c r="R47" i="1"/>
  <c r="R46" i="1"/>
  <c r="R45" i="1"/>
  <c r="R44" i="1"/>
  <c r="R43" i="1"/>
  <c r="R40" i="1"/>
  <c r="R39" i="1"/>
  <c r="R38" i="1"/>
  <c r="R37" i="1"/>
  <c r="R36" i="1"/>
  <c r="H18" i="5" l="1"/>
  <c r="H55" i="1" l="1"/>
  <c r="H47" i="1" l="1"/>
  <c r="C18" i="3" l="1"/>
  <c r="H25" i="5"/>
  <c r="H11" i="5" l="1"/>
  <c r="H40" i="1"/>
  <c r="H26" i="1"/>
  <c r="C13" i="3"/>
  <c r="C14" i="3"/>
  <c r="D17" i="1" l="1"/>
  <c r="H25" i="1" l="1"/>
  <c r="H27" i="1" s="1"/>
  <c r="C23" i="3"/>
  <c r="C22" i="3" s="1"/>
  <c r="C25" i="3" s="1"/>
  <c r="C21" i="3"/>
  <c r="Q54" i="1" l="1"/>
  <c r="F12" i="3"/>
  <c r="I9" i="3"/>
  <c r="Q25" i="1" l="1"/>
  <c r="M18" i="1"/>
  <c r="G47" i="1" l="1"/>
  <c r="Q18" i="5" l="1"/>
  <c r="P18" i="5"/>
  <c r="P11" i="5"/>
  <c r="R18" i="5" l="1"/>
  <c r="D15" i="5" l="1"/>
  <c r="M11" i="1" l="1"/>
  <c r="M10" i="1"/>
  <c r="M12" i="1" s="1"/>
  <c r="G18" i="5" l="1"/>
  <c r="I17" i="5"/>
  <c r="I16" i="5"/>
  <c r="I15" i="5"/>
  <c r="I14" i="5"/>
  <c r="I10" i="5"/>
  <c r="I9" i="5"/>
  <c r="I8" i="5"/>
  <c r="I7" i="5"/>
  <c r="I11" i="5" l="1"/>
  <c r="I18" i="5"/>
  <c r="J18" i="5" l="1"/>
  <c r="J11" i="5"/>
  <c r="R18" i="1" l="1"/>
  <c r="T2" i="5" l="1"/>
  <c r="I21" i="1" l="1"/>
  <c r="H22" i="1"/>
  <c r="G22" i="1"/>
  <c r="H22" i="5" l="1"/>
  <c r="Q22" i="5" l="1"/>
  <c r="P22" i="5"/>
  <c r="R22" i="5" s="1"/>
  <c r="R21" i="5"/>
  <c r="G22" i="5"/>
  <c r="I22" i="5" s="1"/>
  <c r="I21" i="5"/>
  <c r="R17" i="5" l="1"/>
  <c r="R11" i="5"/>
  <c r="R10" i="5"/>
  <c r="S18" i="5" l="1"/>
  <c r="S11" i="5"/>
  <c r="I11" i="1" l="1"/>
  <c r="Q25" i="5" l="1"/>
  <c r="J18" i="1" l="1"/>
  <c r="AM21" i="1" l="1"/>
  <c r="J47" i="1"/>
  <c r="J40" i="1"/>
  <c r="S11" i="1"/>
  <c r="S18" i="1"/>
  <c r="S40" i="1"/>
  <c r="J11" i="1"/>
  <c r="S47" i="1"/>
  <c r="AN23" i="1" l="1"/>
  <c r="AN17" i="1" s="1"/>
  <c r="AM23" i="1"/>
  <c r="AM17" i="1" s="1"/>
  <c r="AN22" i="1"/>
  <c r="AN16" i="1" s="1"/>
  <c r="AM22" i="1"/>
  <c r="AM16" i="1" s="1"/>
  <c r="AN21" i="1"/>
  <c r="AN15" i="1" s="1"/>
  <c r="AM15" i="1"/>
  <c r="AN20" i="1"/>
  <c r="AN14" i="1" s="1"/>
  <c r="AM20" i="1"/>
  <c r="AM14" i="1" s="1"/>
  <c r="AN19" i="1"/>
  <c r="AN13" i="1" s="1"/>
  <c r="AM19" i="1"/>
  <c r="AM13" i="1" s="1"/>
  <c r="O2" i="6" l="1"/>
  <c r="O2" i="2"/>
  <c r="P2" i="5" l="1"/>
  <c r="Q26" i="5"/>
  <c r="H26" i="5"/>
  <c r="M18" i="5"/>
  <c r="M21" i="5" s="1"/>
  <c r="D21" i="5"/>
  <c r="M12" i="5"/>
  <c r="Q31" i="5" s="1"/>
  <c r="D12" i="5"/>
  <c r="H31" i="5" s="1"/>
  <c r="H27" i="5" l="1"/>
  <c r="Q27" i="5"/>
  <c r="Q30" i="5"/>
  <c r="Q28" i="5"/>
  <c r="H28" i="5"/>
  <c r="H30" i="5"/>
  <c r="D44" i="1" l="1"/>
  <c r="D41" i="1"/>
  <c r="M41" i="1"/>
  <c r="Q30" i="1"/>
  <c r="D12" i="1"/>
  <c r="H30" i="1" s="1"/>
  <c r="D21" i="1" l="1"/>
  <c r="M21" i="1"/>
  <c r="D50" i="1"/>
  <c r="M50" i="1" l="1"/>
  <c r="R21" i="1" l="1"/>
  <c r="Q22" i="1"/>
  <c r="AG6" i="1"/>
  <c r="I47" i="1" l="1"/>
  <c r="I46" i="1"/>
  <c r="I45" i="1"/>
  <c r="I44" i="1"/>
  <c r="I43" i="1"/>
  <c r="I40" i="1"/>
  <c r="I39" i="1"/>
  <c r="I38" i="1"/>
  <c r="I37" i="1"/>
  <c r="I36" i="1"/>
  <c r="I4" i="3" l="1"/>
  <c r="W15" i="1"/>
  <c r="AH10" i="1"/>
  <c r="AH7" i="1"/>
  <c r="AH8" i="1"/>
  <c r="AH9" i="1"/>
  <c r="AH6" i="1"/>
  <c r="AG10" i="1"/>
  <c r="AG7" i="1"/>
  <c r="AG8" i="1"/>
  <c r="AG9" i="1"/>
  <c r="Z8" i="1"/>
  <c r="AA8" i="1"/>
  <c r="X8" i="1"/>
  <c r="Y7" i="1" s="1"/>
  <c r="AB7" i="1" l="1"/>
  <c r="AC7" i="1"/>
  <c r="Y6" i="1"/>
  <c r="AG15" i="1" s="1"/>
  <c r="AH17" i="1"/>
  <c r="AH16" i="1"/>
  <c r="AH15" i="1"/>
  <c r="Y8" i="1"/>
  <c r="W14" i="1"/>
  <c r="AG16" i="1" l="1"/>
  <c r="AG18" i="1"/>
  <c r="AB6" i="1"/>
  <c r="AB8" i="1"/>
  <c r="AG14" i="1"/>
  <c r="AC6" i="1"/>
  <c r="AC8" i="1" s="1"/>
  <c r="AH18" i="1"/>
  <c r="AG17" i="1"/>
  <c r="AH14" i="1"/>
  <c r="O12" i="3" l="1"/>
  <c r="Q51" i="1" l="1"/>
  <c r="P51" i="1"/>
  <c r="Q55" i="1" l="1"/>
  <c r="Q56" i="1" s="1"/>
  <c r="P22" i="1" l="1"/>
  <c r="R22" i="1" s="1"/>
  <c r="J10" i="3" l="1"/>
  <c r="L10" i="3" s="1"/>
  <c r="N9" i="3" s="1"/>
  <c r="O9" i="3" s="1"/>
  <c r="P9" i="3" s="1"/>
  <c r="J9" i="3"/>
  <c r="C10" i="3" l="1"/>
  <c r="C12" i="3" s="1"/>
  <c r="H54" i="1" s="1"/>
  <c r="H56" i="1" s="1"/>
  <c r="C6" i="4"/>
  <c r="D6" i="4" s="1"/>
  <c r="L5" i="3"/>
  <c r="N4" i="3" s="1"/>
  <c r="O4" i="3" s="1"/>
  <c r="P4" i="3" s="1"/>
  <c r="J4" i="3"/>
  <c r="C8" i="4" l="1"/>
  <c r="D8" i="4" s="1"/>
  <c r="C14" i="4" l="1"/>
  <c r="C16" i="4" s="1"/>
  <c r="R51" i="1" l="1"/>
  <c r="H51" i="1"/>
  <c r="G51" i="1"/>
  <c r="Q26" i="1"/>
  <c r="Q27" i="1" s="1"/>
  <c r="I51" i="1" l="1"/>
  <c r="R50" i="1" l="1"/>
  <c r="I50" i="1"/>
  <c r="I22" i="1"/>
  <c r="R17" i="1" l="1"/>
  <c r="R16" i="1"/>
  <c r="R15" i="1"/>
  <c r="R14" i="1"/>
  <c r="R11" i="1"/>
  <c r="R10" i="1"/>
  <c r="R9" i="1"/>
  <c r="R8" i="1"/>
  <c r="R7" i="1"/>
  <c r="I10" i="1"/>
  <c r="I9" i="1"/>
  <c r="I8" i="1"/>
  <c r="I7" i="1"/>
  <c r="I18" i="1"/>
  <c r="I17" i="1"/>
  <c r="I16" i="1"/>
  <c r="I15" i="1"/>
  <c r="I14" i="1"/>
  <c r="Q28" i="1"/>
  <c r="H57" i="1"/>
  <c r="Q59" i="1" l="1"/>
  <c r="H60" i="1"/>
  <c r="H31" i="1" l="1"/>
  <c r="Q60" i="1"/>
  <c r="H59" i="1"/>
  <c r="Q31" i="1"/>
  <c r="D14" i="4"/>
  <c r="D16" i="4"/>
  <c r="H28" i="1" l="1"/>
</calcChain>
</file>

<file path=xl/comments1.xml><?xml version="1.0" encoding="utf-8"?>
<comments xmlns="http://schemas.openxmlformats.org/spreadsheetml/2006/main">
  <authors>
    <author>Author</author>
  </authors>
  <commentList>
    <comment ref="F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7/30/2020 prev end date
</t>
        </r>
      </text>
    </comment>
    <comment ref="C17" authorId="0">
      <text>
        <r>
          <rPr>
            <b/>
            <sz val="9"/>
            <color indexed="81"/>
            <rFont val="Tahoma"/>
            <family val="2"/>
          </rPr>
          <t>Forecasted</t>
        </r>
      </text>
    </comment>
  </commentList>
</comments>
</file>

<file path=xl/sharedStrings.xml><?xml version="1.0" encoding="utf-8"?>
<sst xmlns="http://schemas.openxmlformats.org/spreadsheetml/2006/main" count="723" uniqueCount="171">
  <si>
    <t>PROJECT SUMMARY</t>
  </si>
  <si>
    <t>Project</t>
  </si>
  <si>
    <t>Waldorf Astoria</t>
  </si>
  <si>
    <t>La Jolla</t>
  </si>
  <si>
    <t>Consultant</t>
  </si>
  <si>
    <t>Lacasa Qatar</t>
  </si>
  <si>
    <t>Main Contractor</t>
  </si>
  <si>
    <t>Harinsa Con. Com. Qatar</t>
  </si>
  <si>
    <t>ELM Contract Type</t>
  </si>
  <si>
    <t>Lump-sum</t>
  </si>
  <si>
    <t>ELM Contract Sum</t>
  </si>
  <si>
    <t>ELM Contract End Date</t>
  </si>
  <si>
    <t>ELM EOT</t>
  </si>
  <si>
    <t>ELM Contract Revised End Date</t>
  </si>
  <si>
    <t>ELM Forecasted Completion Date</t>
  </si>
  <si>
    <t>PROJECT METRICS</t>
  </si>
  <si>
    <t>Engineering</t>
  </si>
  <si>
    <t>Procurement</t>
  </si>
  <si>
    <t>Construction</t>
  </si>
  <si>
    <t>Desnagging</t>
  </si>
  <si>
    <t>Overall</t>
  </si>
  <si>
    <t>Planned</t>
  </si>
  <si>
    <t>Actual</t>
  </si>
  <si>
    <t>Variance</t>
  </si>
  <si>
    <t>Weekly Progress</t>
  </si>
  <si>
    <t>Cumulative Progress</t>
  </si>
  <si>
    <t>ELM Approved Variations</t>
  </si>
  <si>
    <t>ELM Revised Contract Sum</t>
  </si>
  <si>
    <t>Tasks</t>
  </si>
  <si>
    <t>COST &amp; TIME INDICATORS</t>
  </si>
  <si>
    <t>Project Duration</t>
  </si>
  <si>
    <t>Time Elapsed</t>
  </si>
  <si>
    <t>Time Remaining</t>
  </si>
  <si>
    <t>Approved Cumulative IPC</t>
  </si>
  <si>
    <t>Remaing IPC</t>
  </si>
  <si>
    <t>Completion % (Cost)</t>
  </si>
  <si>
    <t>Completion % (Time)</t>
  </si>
  <si>
    <t>OUTSTANDING ISSUES &amp; AREAS OF CONCERN</t>
  </si>
  <si>
    <t>5-) ……………</t>
  </si>
  <si>
    <t>6-) ……………</t>
  </si>
  <si>
    <t>7-) ……………</t>
  </si>
  <si>
    <t>Qatar Petroleum District</t>
  </si>
  <si>
    <t>Aman Hospital Project</t>
  </si>
  <si>
    <t>2-) Handing Over - Availability of Open Work Front for ELM to proceed</t>
  </si>
  <si>
    <t>3-) MEP Clearances</t>
  </si>
  <si>
    <t>4-) Design Changes / Change in Material Specifications</t>
  </si>
  <si>
    <t>6-) Late Procurement/Fabrication and Deliveries due to late approvals</t>
  </si>
  <si>
    <t>5-) Approvals of Eng. Submissions affecting Procurement &amp; Deliveries</t>
  </si>
  <si>
    <t>W Hotel SPA</t>
  </si>
  <si>
    <t>Client</t>
  </si>
  <si>
    <t>Hotel Management</t>
  </si>
  <si>
    <t>ELM Contracting</t>
  </si>
  <si>
    <t>Qatar Petroleum</t>
  </si>
  <si>
    <t>AEB</t>
  </si>
  <si>
    <t>Medgulf Construction</t>
  </si>
  <si>
    <t>KEO</t>
  </si>
  <si>
    <t>Aman Hospital WLL</t>
  </si>
  <si>
    <t>3-) Long Lead Items Delivery</t>
  </si>
  <si>
    <t>ELM Expected Variation Orders</t>
  </si>
  <si>
    <t>ELM Forecasted Cost-to-Complete</t>
  </si>
  <si>
    <t>ID</t>
  </si>
  <si>
    <t>Direct</t>
  </si>
  <si>
    <t>Indirect</t>
  </si>
  <si>
    <t>Total</t>
  </si>
  <si>
    <t>Manpower (man x days)</t>
  </si>
  <si>
    <t>Weekly</t>
  </si>
  <si>
    <t>Cumulative</t>
  </si>
  <si>
    <t>EOT to be Raised</t>
  </si>
  <si>
    <t>WALDORF ASTORIA PROJECT</t>
  </si>
  <si>
    <t>QATAR PETROLEUM DISTRICT PROJECT</t>
  </si>
  <si>
    <t>W HOTEL SPA PROJECT</t>
  </si>
  <si>
    <t>AMAN HOSPITAL PROJECT</t>
  </si>
  <si>
    <t>Nozul Hotels &amp; Resorts WLL</t>
  </si>
  <si>
    <t>ELM Contract Start Date</t>
  </si>
  <si>
    <t>W Hotel Spa</t>
  </si>
  <si>
    <t>Previous Manpower</t>
  </si>
  <si>
    <t>EOT Completion Date</t>
  </si>
  <si>
    <t>days</t>
  </si>
  <si>
    <t>Mos.</t>
  </si>
  <si>
    <t>completed</t>
  </si>
  <si>
    <t>Remaining</t>
  </si>
  <si>
    <t>Forecasted Completion</t>
  </si>
  <si>
    <t>Working days</t>
  </si>
  <si>
    <t>CTC</t>
  </si>
  <si>
    <t>% Progress</t>
  </si>
  <si>
    <t>% Remaining</t>
  </si>
  <si>
    <t>Remarks</t>
  </si>
  <si>
    <t>Less:</t>
  </si>
  <si>
    <t>QPD</t>
  </si>
  <si>
    <t>estimated remaining expenses cost</t>
  </si>
  <si>
    <t>W-Hotel</t>
  </si>
  <si>
    <t>Approx.2+ months</t>
  </si>
  <si>
    <t>Cut-off:</t>
  </si>
  <si>
    <t>to be raised</t>
  </si>
  <si>
    <t>TBC</t>
  </si>
  <si>
    <t>2-) Value Engineering Materials Approvals &amp; Confimation by KEO/TAHPI</t>
  </si>
  <si>
    <t>CTC Estimated</t>
  </si>
  <si>
    <t>WA</t>
  </si>
  <si>
    <t>W</t>
  </si>
  <si>
    <t>AH</t>
  </si>
  <si>
    <t>CTC %</t>
  </si>
  <si>
    <t>Approx. 5+ months</t>
  </si>
  <si>
    <t>Not as per Mitigation</t>
  </si>
  <si>
    <t>Wt%</t>
  </si>
  <si>
    <t>Prev Contract Sum</t>
  </si>
  <si>
    <t>Additional Contract Sum</t>
  </si>
  <si>
    <t>TOTAL:</t>
  </si>
  <si>
    <t>Amount</t>
  </si>
  <si>
    <t>Note:</t>
  </si>
  <si>
    <t>Changed As per Overall Preoject Rev. BL</t>
  </si>
  <si>
    <t>% Progress Till Date</t>
  </si>
  <si>
    <t xml:space="preserve">Plan % </t>
  </si>
  <si>
    <t>Actual %</t>
  </si>
  <si>
    <t>WT% Actual</t>
  </si>
  <si>
    <t>WT% Plan</t>
  </si>
  <si>
    <t>Planned %</t>
  </si>
  <si>
    <t>Total Contract Sum to Date</t>
  </si>
  <si>
    <t>ELM Contract End Date (new)</t>
  </si>
  <si>
    <t>Lump-Sum</t>
  </si>
  <si>
    <t xml:space="preserve">
Dry Wall Patition Works &amp; Mock-up Installation </t>
  </si>
  <si>
    <t xml:space="preserve"> </t>
  </si>
  <si>
    <t>ELM Revised Baseline Programme</t>
  </si>
  <si>
    <t>ELM Submitted Variation Orders</t>
  </si>
  <si>
    <t>W%</t>
  </si>
  <si>
    <t>ELM Cost to Date (CTD)</t>
  </si>
  <si>
    <t>W Hotel Coya Restaurant</t>
  </si>
  <si>
    <t>W Hotel Coya</t>
  </si>
  <si>
    <t>Papillon Jewellry</t>
  </si>
  <si>
    <t>Papillon Jewellry LLC</t>
  </si>
  <si>
    <t>-</t>
  </si>
  <si>
    <t>W HOTEL COYA RESTAURANT</t>
  </si>
  <si>
    <t>PAPILLON JEWELLRY</t>
  </si>
  <si>
    <t xml:space="preserve">ELM Submitted Variation Orders   </t>
  </si>
  <si>
    <t>1-) Logistic and Storage for Material Deliveries</t>
  </si>
  <si>
    <t>7-) Swimming pool MEP Clearance not yet finalised by HCCQ</t>
  </si>
  <si>
    <t>2-) Inspection and handing over remaining</t>
  </si>
  <si>
    <t>3-) Remaining Testing of Functionality of devices</t>
  </si>
  <si>
    <t xml:space="preserve">3-) </t>
  </si>
  <si>
    <t>4-)</t>
  </si>
  <si>
    <t xml:space="preserve">5-) </t>
  </si>
  <si>
    <t xml:space="preserve">6-) </t>
  </si>
  <si>
    <t>7-)</t>
  </si>
  <si>
    <t xml:space="preserve">
Various Floor, Wall, Ceiling Finishing &amp; Joineries</t>
  </si>
  <si>
    <t>1-) Project is Design &amp; Build Work Scope by ELM</t>
  </si>
  <si>
    <t>4-) Action Plan for Delayed Engineering &amp; Procurement Works due to approvals</t>
  </si>
  <si>
    <t>5-) Remaining Civil &amp; MEP Works at Wet Areas by others</t>
  </si>
  <si>
    <t>2.) Handing Over of Area and Access Dates</t>
  </si>
  <si>
    <t>1-) Final touch up work</t>
  </si>
  <si>
    <t>2-) Civil &amp; Architectural Works design Pending Authority Approval</t>
  </si>
  <si>
    <t>3-) MEP Services design under finalization</t>
  </si>
  <si>
    <t>4-) Building Permit not yet obtained and issued to start work.</t>
  </si>
  <si>
    <t>5-) Design Finalization and IFC to be issued after Municipality Approval</t>
  </si>
  <si>
    <t xml:space="preserve">
Various Progress (Fit-Out) Installation Works</t>
  </si>
  <si>
    <t xml:space="preserve">
Various Progress on Fit-Out Finishes Final Touch Up Works</t>
  </si>
  <si>
    <t xml:space="preserve">4-) Final Cleaning </t>
  </si>
  <si>
    <t>3.) EOT to be raised - Workfront partially given for ELM</t>
  </si>
  <si>
    <t>6-) DC-1 Approval On-HOLD</t>
  </si>
  <si>
    <t>3.) EOT to be raised - Until 30th April 2021</t>
  </si>
  <si>
    <t>30th April 2021</t>
  </si>
  <si>
    <t>ELM Cost to Date (CTD) - 10/11/2020</t>
  </si>
  <si>
    <t>1-) New Introduced Target Dates (OTS-02) vs. Actual (EOT to be raised)</t>
  </si>
  <si>
    <t>ELM TRADING &amp; CONTRACTING WLL
ONGOING PROJECTS BRIEF PROGRESS REPORTING NO-30-A</t>
  </si>
  <si>
    <t>Issue Date: 21 Feb 2021
Cut-off Date:18 Feb 2021
Rev: 00</t>
  </si>
  <si>
    <t>ELM TRADING &amp; CONTRACTING WLL
ONGOING PROJECTS BRIEF PROGRESS REPORTING NO-30-B</t>
  </si>
  <si>
    <t>ELM TRADING &amp; CONTRACTING WLL
ONGOING PROJECTS BRIEF PROGRESS REPORTING NO30-A - SITE PHOTOS</t>
  </si>
  <si>
    <t>ELM TRADING &amp; CONTRACTING WLL
ONGOING PROJECTS BRIEF PROGRESS REPORTING NO-30-B - SITE PHOTOS</t>
  </si>
  <si>
    <t>6-) Data is Referred from New OTS-2 Schedule introduced by MG for reporting</t>
  </si>
  <si>
    <t>1-) Extension of Time &amp; Cost Claim Clarification</t>
  </si>
  <si>
    <t xml:space="preserve">2-) </t>
  </si>
  <si>
    <t>1-) Handing Over Stage</t>
  </si>
  <si>
    <t xml:space="preserve">
DESIGN CONCEPT ONLY (DESIGN &amp; AUTHORITY APPROVAL STAGE)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</si>
</sst>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[$QAR]\ #,##0"/>
    <numFmt numFmtId="165" formatCode="#,##0\ &quot;days&quot;"/>
    <numFmt numFmtId="166" formatCode="[$-F800]dddd\,\ mmmm\ dd\,\ yyyy"/>
    <numFmt numFmtId="167" formatCode="[$-409]d\-mmm\-yy;@"/>
    <numFmt numFmtId="168" formatCode="_(* #,##0.0_);_(* \(#,##0.0\);_(* &quot;-&quot;??_);_(@_)"/>
    <numFmt numFmtId="169" formatCode="_(* #,##0_);_(* \(#,##0\);_(* &quot;-&quot;??_);_(@_)"/>
    <numFmt numFmtId="170" formatCode="0.00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FF0000"/>
      <name val="Arial"/>
      <family val="2"/>
    </font>
    <font>
      <b/>
      <u/>
      <sz val="11"/>
      <color theme="1"/>
      <name val="Arial"/>
      <family val="2"/>
    </font>
    <font>
      <sz val="11"/>
      <color rgb="FFC0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rgb="FF00206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9" tint="-0.499984740745262"/>
      <name val="Arial"/>
      <family val="2"/>
    </font>
    <font>
      <sz val="11"/>
      <color theme="0" tint="-0.34998626667073579"/>
      <name val="Arial"/>
      <family val="2"/>
    </font>
    <font>
      <sz val="11"/>
      <color rgb="FFFFFF00"/>
      <name val="Arial"/>
      <family val="2"/>
    </font>
    <font>
      <b/>
      <sz val="11"/>
      <color rgb="FFFFFF00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8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hair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38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165" fontId="2" fillId="0" borderId="11" xfId="0" applyNumberFormat="1" applyFont="1" applyBorder="1" applyAlignment="1">
      <alignment horizontal="left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2" fillId="0" borderId="25" xfId="0" applyFont="1" applyBorder="1" applyAlignment="1">
      <alignment vertical="center"/>
    </xf>
    <xf numFmtId="0" fontId="7" fillId="4" borderId="28" xfId="0" applyFont="1" applyFill="1" applyBorder="1" applyAlignment="1">
      <alignment horizontal="center" vertical="center"/>
    </xf>
    <xf numFmtId="164" fontId="2" fillId="0" borderId="0" xfId="0" applyNumberFormat="1" applyFont="1" applyBorder="1" applyAlignment="1">
      <alignment horizontal="left" vertical="center"/>
    </xf>
    <xf numFmtId="14" fontId="2" fillId="0" borderId="0" xfId="0" applyNumberFormat="1" applyFont="1" applyBorder="1" applyAlignment="1">
      <alignment horizontal="left" vertical="center"/>
    </xf>
    <xf numFmtId="165" fontId="2" fillId="0" borderId="0" xfId="0" applyNumberFormat="1" applyFont="1" applyBorder="1" applyAlignment="1">
      <alignment horizontal="left" vertical="center"/>
    </xf>
    <xf numFmtId="0" fontId="2" fillId="0" borderId="33" xfId="0" applyFont="1" applyBorder="1" applyAlignment="1">
      <alignment vertical="center"/>
    </xf>
    <xf numFmtId="0" fontId="2" fillId="0" borderId="34" xfId="0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2" fillId="0" borderId="41" xfId="0" applyFont="1" applyBorder="1" applyAlignment="1">
      <alignment horizontal="left" vertical="center"/>
    </xf>
    <xf numFmtId="0" fontId="3" fillId="0" borderId="12" xfId="0" applyFont="1" applyBorder="1" applyAlignment="1">
      <alignment vertical="center"/>
    </xf>
    <xf numFmtId="14" fontId="2" fillId="0" borderId="0" xfId="0" applyNumberFormat="1" applyFont="1" applyAlignment="1">
      <alignment vertical="center"/>
    </xf>
    <xf numFmtId="0" fontId="2" fillId="0" borderId="27" xfId="0" applyFont="1" applyBorder="1" applyAlignment="1">
      <alignment vertical="center"/>
    </xf>
    <xf numFmtId="10" fontId="2" fillId="0" borderId="29" xfId="1" applyNumberFormat="1" applyFont="1" applyBorder="1" applyAlignment="1">
      <alignment horizontal="center" vertical="center"/>
    </xf>
    <xf numFmtId="10" fontId="2" fillId="0" borderId="30" xfId="1" applyNumberFormat="1" applyFont="1" applyBorder="1" applyAlignment="1">
      <alignment horizontal="center" vertical="center"/>
    </xf>
    <xf numFmtId="10" fontId="3" fillId="0" borderId="31" xfId="1" applyNumberFormat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0" fontId="2" fillId="0" borderId="14" xfId="1" applyNumberFormat="1" applyFont="1" applyBorder="1" applyAlignment="1">
      <alignment horizontal="center" vertical="center"/>
    </xf>
    <xf numFmtId="10" fontId="2" fillId="0" borderId="15" xfId="1" applyNumberFormat="1" applyFont="1" applyBorder="1" applyAlignment="1">
      <alignment horizontal="center" vertical="center"/>
    </xf>
    <xf numFmtId="0" fontId="2" fillId="0" borderId="49" xfId="0" applyFont="1" applyBorder="1" applyAlignment="1">
      <alignment vertical="center"/>
    </xf>
    <xf numFmtId="3" fontId="2" fillId="0" borderId="15" xfId="1" applyNumberFormat="1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3" fontId="2" fillId="0" borderId="16" xfId="1" applyNumberFormat="1" applyFont="1" applyBorder="1" applyAlignment="1">
      <alignment horizontal="center" vertical="center"/>
    </xf>
    <xf numFmtId="166" fontId="2" fillId="0" borderId="11" xfId="0" applyNumberFormat="1" applyFont="1" applyBorder="1" applyAlignment="1">
      <alignment horizontal="left" vertical="center"/>
    </xf>
    <xf numFmtId="3" fontId="2" fillId="0" borderId="29" xfId="1" applyNumberFormat="1" applyFont="1" applyBorder="1" applyAlignment="1">
      <alignment horizontal="center" vertical="center"/>
    </xf>
    <xf numFmtId="3" fontId="2" fillId="0" borderId="31" xfId="1" applyNumberFormat="1" applyFont="1" applyBorder="1" applyAlignment="1">
      <alignment horizontal="center" vertical="center"/>
    </xf>
    <xf numFmtId="167" fontId="3" fillId="0" borderId="9" xfId="0" applyNumberFormat="1" applyFont="1" applyBorder="1" applyAlignment="1">
      <alignment vertical="center"/>
    </xf>
    <xf numFmtId="0" fontId="3" fillId="0" borderId="9" xfId="0" applyFont="1" applyBorder="1" applyAlignment="1">
      <alignment vertical="center"/>
    </xf>
    <xf numFmtId="167" fontId="2" fillId="0" borderId="11" xfId="0" applyNumberFormat="1" applyFont="1" applyBorder="1" applyAlignment="1">
      <alignment horizontal="left" vertical="center"/>
    </xf>
    <xf numFmtId="0" fontId="0" fillId="0" borderId="0" xfId="0" applyBorder="1"/>
    <xf numFmtId="167" fontId="3" fillId="0" borderId="0" xfId="0" applyNumberFormat="1" applyFont="1" applyBorder="1" applyAlignment="1">
      <alignment vertical="center"/>
    </xf>
    <xf numFmtId="167" fontId="2" fillId="0" borderId="0" xfId="0" applyNumberFormat="1" applyFont="1" applyBorder="1" applyAlignment="1">
      <alignment horizontal="left" vertical="center"/>
    </xf>
    <xf numFmtId="167" fontId="2" fillId="0" borderId="13" xfId="0" applyNumberFormat="1" applyFont="1" applyBorder="1" applyAlignment="1">
      <alignment horizontal="left" vertical="center"/>
    </xf>
    <xf numFmtId="167" fontId="2" fillId="0" borderId="0" xfId="0" applyNumberFormat="1" applyFont="1" applyAlignment="1">
      <alignment vertical="center"/>
    </xf>
    <xf numFmtId="15" fontId="0" fillId="0" borderId="0" xfId="0" applyNumberFormat="1"/>
    <xf numFmtId="43" fontId="0" fillId="0" borderId="0" xfId="3" applyFont="1"/>
    <xf numFmtId="0" fontId="2" fillId="0" borderId="0" xfId="0" applyFont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10" fontId="3" fillId="0" borderId="16" xfId="1" applyNumberFormat="1" applyFont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167" fontId="11" fillId="0" borderId="13" xfId="0" applyNumberFormat="1" applyFont="1" applyBorder="1" applyAlignment="1">
      <alignment horizontal="left" vertical="center"/>
    </xf>
    <xf numFmtId="10" fontId="0" fillId="0" borderId="0" xfId="0" applyNumberFormat="1"/>
    <xf numFmtId="43" fontId="0" fillId="0" borderId="0" xfId="0" applyNumberFormat="1"/>
    <xf numFmtId="0" fontId="10" fillId="0" borderId="0" xfId="0" applyFont="1"/>
    <xf numFmtId="43" fontId="10" fillId="0" borderId="0" xfId="3" applyFont="1"/>
    <xf numFmtId="10" fontId="0" fillId="0" borderId="0" xfId="1" applyNumberFormat="1" applyFont="1"/>
    <xf numFmtId="0" fontId="12" fillId="0" borderId="0" xfId="0" applyFont="1"/>
    <xf numFmtId="0" fontId="10" fillId="0" borderId="0" xfId="0" applyFont="1" applyAlignment="1">
      <alignment horizontal="center"/>
    </xf>
    <xf numFmtId="0" fontId="0" fillId="0" borderId="53" xfId="0" applyBorder="1"/>
    <xf numFmtId="0" fontId="0" fillId="0" borderId="54" xfId="0" applyBorder="1"/>
    <xf numFmtId="0" fontId="0" fillId="0" borderId="56" xfId="0" applyBorder="1"/>
    <xf numFmtId="168" fontId="0" fillId="0" borderId="0" xfId="3" applyNumberFormat="1" applyFont="1" applyBorder="1"/>
    <xf numFmtId="43" fontId="0" fillId="0" borderId="0" xfId="0" applyNumberFormat="1" applyBorder="1"/>
    <xf numFmtId="169" fontId="0" fillId="0" borderId="0" xfId="0" applyNumberFormat="1" applyBorder="1"/>
    <xf numFmtId="169" fontId="10" fillId="0" borderId="0" xfId="0" applyNumberFormat="1" applyFont="1" applyBorder="1"/>
    <xf numFmtId="0" fontId="0" fillId="0" borderId="58" xfId="0" applyBorder="1"/>
    <xf numFmtId="0" fontId="0" fillId="0" borderId="59" xfId="0" applyBorder="1"/>
    <xf numFmtId="1" fontId="0" fillId="0" borderId="0" xfId="0" applyNumberFormat="1" applyBorder="1"/>
    <xf numFmtId="167" fontId="3" fillId="0" borderId="0" xfId="0" applyNumberFormat="1" applyFont="1" applyAlignment="1">
      <alignment vertical="center"/>
    </xf>
    <xf numFmtId="15" fontId="2" fillId="0" borderId="0" xfId="0" applyNumberFormat="1" applyFont="1" applyAlignment="1">
      <alignment vertical="center"/>
    </xf>
    <xf numFmtId="10" fontId="2" fillId="0" borderId="0" xfId="1" applyNumberFormat="1" applyFont="1" applyAlignment="1">
      <alignment vertical="center"/>
    </xf>
    <xf numFmtId="37" fontId="2" fillId="0" borderId="0" xfId="3" applyNumberFormat="1" applyFont="1" applyAlignment="1">
      <alignment vertical="center"/>
    </xf>
    <xf numFmtId="0" fontId="2" fillId="0" borderId="0" xfId="0" applyFont="1" applyAlignment="1">
      <alignment horizontal="right" vertical="center" indent="1"/>
    </xf>
    <xf numFmtId="9" fontId="2" fillId="0" borderId="0" xfId="1" applyFont="1" applyAlignment="1">
      <alignment vertical="center"/>
    </xf>
    <xf numFmtId="0" fontId="3" fillId="0" borderId="0" xfId="0" applyFont="1" applyAlignment="1">
      <alignment vertical="center"/>
    </xf>
    <xf numFmtId="37" fontId="2" fillId="0" borderId="62" xfId="3" applyNumberFormat="1" applyFont="1" applyBorder="1" applyAlignment="1">
      <alignment vertical="center"/>
    </xf>
    <xf numFmtId="10" fontId="2" fillId="0" borderId="62" xfId="1" applyNumberFormat="1" applyFont="1" applyBorder="1" applyAlignment="1">
      <alignment vertical="center"/>
    </xf>
    <xf numFmtId="37" fontId="3" fillId="0" borderId="61" xfId="3" applyNumberFormat="1" applyFont="1" applyBorder="1" applyAlignment="1">
      <alignment vertical="center"/>
    </xf>
    <xf numFmtId="10" fontId="3" fillId="0" borderId="61" xfId="0" applyNumberFormat="1" applyFont="1" applyBorder="1" applyAlignment="1">
      <alignment vertical="center"/>
    </xf>
    <xf numFmtId="37" fontId="2" fillId="0" borderId="63" xfId="3" applyNumberFormat="1" applyFont="1" applyBorder="1" applyAlignment="1">
      <alignment vertical="center"/>
    </xf>
    <xf numFmtId="10" fontId="2" fillId="0" borderId="63" xfId="1" applyNumberFormat="1" applyFont="1" applyBorder="1" applyAlignment="1">
      <alignment vertical="center"/>
    </xf>
    <xf numFmtId="167" fontId="3" fillId="0" borderId="61" xfId="0" applyNumberFormat="1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11" fillId="0" borderId="61" xfId="0" applyFont="1" applyBorder="1" applyAlignment="1">
      <alignment vertical="center"/>
    </xf>
    <xf numFmtId="0" fontId="13" fillId="0" borderId="61" xfId="0" applyFont="1" applyBorder="1" applyAlignment="1">
      <alignment vertical="center"/>
    </xf>
    <xf numFmtId="10" fontId="3" fillId="0" borderId="61" xfId="1" applyNumberFormat="1" applyFont="1" applyBorder="1" applyAlignment="1">
      <alignment vertical="center"/>
    </xf>
    <xf numFmtId="0" fontId="3" fillId="0" borderId="61" xfId="0" applyFont="1" applyBorder="1" applyAlignment="1">
      <alignment vertical="center"/>
    </xf>
    <xf numFmtId="170" fontId="9" fillId="0" borderId="61" xfId="1" applyNumberFormat="1" applyFont="1" applyBorder="1" applyAlignment="1">
      <alignment vertical="center"/>
    </xf>
    <xf numFmtId="0" fontId="2" fillId="0" borderId="61" xfId="0" applyFont="1" applyBorder="1" applyAlignment="1">
      <alignment vertical="center"/>
    </xf>
    <xf numFmtId="0" fontId="2" fillId="0" borderId="0" xfId="0" applyFont="1" applyAlignment="1">
      <alignment horizontal="left" vertical="center" indent="1"/>
    </xf>
    <xf numFmtId="0" fontId="3" fillId="0" borderId="0" xfId="0" applyFont="1" applyAlignment="1">
      <alignment horizontal="right" vertical="center" indent="1"/>
    </xf>
    <xf numFmtId="164" fontId="2" fillId="0" borderId="0" xfId="0" applyNumberFormat="1" applyFont="1" applyAlignment="1">
      <alignment horizontal="right" vertical="center" indent="1"/>
    </xf>
    <xf numFmtId="43" fontId="2" fillId="0" borderId="0" xfId="3" applyFont="1" applyAlignment="1">
      <alignment horizontal="right" vertical="center" indent="1"/>
    </xf>
    <xf numFmtId="10" fontId="2" fillId="0" borderId="0" xfId="1" applyNumberFormat="1" applyFont="1" applyAlignment="1">
      <alignment horizontal="right" vertical="center" indent="1"/>
    </xf>
    <xf numFmtId="10" fontId="2" fillId="0" borderId="64" xfId="1" applyNumberFormat="1" applyFont="1" applyBorder="1" applyAlignment="1">
      <alignment vertical="center"/>
    </xf>
    <xf numFmtId="10" fontId="2" fillId="0" borderId="65" xfId="1" applyNumberFormat="1" applyFont="1" applyBorder="1" applyAlignment="1">
      <alignment vertical="center"/>
    </xf>
    <xf numFmtId="10" fontId="16" fillId="0" borderId="65" xfId="1" applyNumberFormat="1" applyFont="1" applyBorder="1" applyAlignment="1">
      <alignment vertical="center"/>
    </xf>
    <xf numFmtId="10" fontId="16" fillId="0" borderId="66" xfId="1" applyNumberFormat="1" applyFont="1" applyBorder="1" applyAlignment="1">
      <alignment vertical="center"/>
    </xf>
    <xf numFmtId="10" fontId="16" fillId="0" borderId="67" xfId="1" applyNumberFormat="1" applyFont="1" applyBorder="1" applyAlignment="1">
      <alignment vertical="center"/>
    </xf>
    <xf numFmtId="10" fontId="16" fillId="0" borderId="68" xfId="1" applyNumberFormat="1" applyFont="1" applyBorder="1" applyAlignment="1">
      <alignment vertical="center"/>
    </xf>
    <xf numFmtId="10" fontId="16" fillId="0" borderId="69" xfId="1" applyNumberFormat="1" applyFont="1" applyBorder="1" applyAlignment="1">
      <alignment vertical="center"/>
    </xf>
    <xf numFmtId="10" fontId="16" fillId="0" borderId="70" xfId="1" applyNumberFormat="1" applyFont="1" applyBorder="1" applyAlignment="1">
      <alignment vertical="center"/>
    </xf>
    <xf numFmtId="10" fontId="16" fillId="0" borderId="71" xfId="1" applyNumberFormat="1" applyFont="1" applyBorder="1" applyAlignment="1">
      <alignment vertical="center"/>
    </xf>
    <xf numFmtId="10" fontId="16" fillId="0" borderId="72" xfId="1" applyNumberFormat="1" applyFont="1" applyBorder="1" applyAlignment="1">
      <alignment vertical="center"/>
    </xf>
    <xf numFmtId="10" fontId="2" fillId="0" borderId="67" xfId="1" applyNumberFormat="1" applyFont="1" applyBorder="1" applyAlignment="1">
      <alignment vertical="center"/>
    </xf>
    <xf numFmtId="10" fontId="2" fillId="0" borderId="68" xfId="1" applyNumberFormat="1" applyFont="1" applyBorder="1" applyAlignment="1">
      <alignment vertical="center"/>
    </xf>
    <xf numFmtId="10" fontId="2" fillId="0" borderId="69" xfId="1" applyNumberFormat="1" applyFont="1" applyBorder="1" applyAlignment="1">
      <alignment vertical="center"/>
    </xf>
    <xf numFmtId="10" fontId="2" fillId="0" borderId="70" xfId="1" applyNumberFormat="1" applyFont="1" applyBorder="1" applyAlignment="1">
      <alignment vertical="center"/>
    </xf>
    <xf numFmtId="10" fontId="2" fillId="0" borderId="71" xfId="1" applyNumberFormat="1" applyFont="1" applyBorder="1" applyAlignment="1">
      <alignment vertical="center"/>
    </xf>
    <xf numFmtId="10" fontId="2" fillId="0" borderId="72" xfId="1" applyNumberFormat="1" applyFont="1" applyBorder="1" applyAlignment="1">
      <alignment vertical="center"/>
    </xf>
    <xf numFmtId="10" fontId="13" fillId="0" borderId="61" xfId="1" applyNumberFormat="1" applyFont="1" applyBorder="1" applyAlignment="1">
      <alignment vertical="center"/>
    </xf>
    <xf numFmtId="10" fontId="2" fillId="0" borderId="0" xfId="1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10" fontId="18" fillId="0" borderId="0" xfId="1" applyNumberFormat="1" applyFont="1" applyAlignment="1">
      <alignment vertical="center"/>
    </xf>
    <xf numFmtId="10" fontId="19" fillId="0" borderId="0" xfId="1" applyNumberFormat="1" applyFont="1" applyAlignment="1">
      <alignment vertical="center"/>
    </xf>
    <xf numFmtId="10" fontId="18" fillId="0" borderId="0" xfId="0" applyNumberFormat="1" applyFont="1" applyAlignment="1">
      <alignment vertical="center"/>
    </xf>
    <xf numFmtId="10" fontId="19" fillId="0" borderId="0" xfId="0" applyNumberFormat="1" applyFont="1" applyAlignment="1">
      <alignment vertical="center"/>
    </xf>
    <xf numFmtId="0" fontId="2" fillId="0" borderId="25" xfId="0" applyFont="1" applyFill="1" applyBorder="1" applyAlignment="1">
      <alignment vertical="center"/>
    </xf>
    <xf numFmtId="0" fontId="2" fillId="0" borderId="27" xfId="0" applyFont="1" applyFill="1" applyBorder="1" applyAlignment="1">
      <alignment vertical="center"/>
    </xf>
    <xf numFmtId="0" fontId="2" fillId="0" borderId="49" xfId="0" applyFont="1" applyFill="1" applyBorder="1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3" fontId="2" fillId="0" borderId="14" xfId="1" applyNumberFormat="1" applyFont="1" applyBorder="1" applyAlignment="1">
      <alignment horizontal="center" vertical="center"/>
    </xf>
    <xf numFmtId="0" fontId="3" fillId="3" borderId="4" xfId="0" applyFont="1" applyFill="1" applyBorder="1" applyAlignment="1">
      <alignment horizontal="left" vertical="center"/>
    </xf>
    <xf numFmtId="0" fontId="2" fillId="5" borderId="27" xfId="0" applyFont="1" applyFill="1" applyBorder="1" applyAlignment="1">
      <alignment vertical="center"/>
    </xf>
    <xf numFmtId="164" fontId="2" fillId="5" borderId="11" xfId="0" applyNumberFormat="1" applyFont="1" applyFill="1" applyBorder="1" applyAlignment="1">
      <alignment horizontal="left" vertical="center"/>
    </xf>
    <xf numFmtId="164" fontId="9" fillId="5" borderId="11" xfId="0" applyNumberFormat="1" applyFont="1" applyFill="1" applyBorder="1" applyAlignment="1">
      <alignment horizontal="left" vertical="center"/>
    </xf>
    <xf numFmtId="0" fontId="2" fillId="5" borderId="32" xfId="0" applyFont="1" applyFill="1" applyBorder="1" applyAlignment="1">
      <alignment vertical="center"/>
    </xf>
    <xf numFmtId="164" fontId="2" fillId="5" borderId="13" xfId="0" applyNumberFormat="1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3" fontId="2" fillId="0" borderId="16" xfId="1" applyNumberFormat="1" applyFont="1" applyFill="1" applyBorder="1" applyAlignment="1">
      <alignment horizontal="center" vertical="center"/>
    </xf>
    <xf numFmtId="166" fontId="2" fillId="0" borderId="11" xfId="0" applyNumberFormat="1" applyFont="1" applyFill="1" applyBorder="1" applyAlignment="1">
      <alignment horizontal="left" vertical="center"/>
    </xf>
    <xf numFmtId="165" fontId="2" fillId="0" borderId="11" xfId="0" applyNumberFormat="1" applyFont="1" applyFill="1" applyBorder="1" applyAlignment="1">
      <alignment horizontal="left" vertical="center"/>
    </xf>
    <xf numFmtId="0" fontId="2" fillId="0" borderId="8" xfId="0" applyFont="1" applyFill="1" applyBorder="1" applyAlignment="1">
      <alignment vertical="center"/>
    </xf>
    <xf numFmtId="10" fontId="2" fillId="0" borderId="15" xfId="1" applyNumberFormat="1" applyFont="1" applyFill="1" applyBorder="1" applyAlignment="1">
      <alignment horizontal="center" vertical="center"/>
    </xf>
    <xf numFmtId="10" fontId="2" fillId="0" borderId="14" xfId="1" applyNumberFormat="1" applyFont="1" applyFill="1" applyBorder="1" applyAlignment="1">
      <alignment horizontal="center" vertical="center"/>
    </xf>
    <xf numFmtId="10" fontId="2" fillId="0" borderId="29" xfId="1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vertical="center"/>
    </xf>
    <xf numFmtId="10" fontId="2" fillId="0" borderId="30" xfId="1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vertical="center"/>
    </xf>
    <xf numFmtId="10" fontId="3" fillId="0" borderId="16" xfId="1" applyNumberFormat="1" applyFont="1" applyFill="1" applyBorder="1" applyAlignment="1">
      <alignment horizontal="center" vertical="center"/>
    </xf>
    <xf numFmtId="10" fontId="3" fillId="0" borderId="31" xfId="1" applyNumberFormat="1" applyFont="1" applyFill="1" applyBorder="1" applyAlignment="1">
      <alignment horizontal="center" vertical="center"/>
    </xf>
    <xf numFmtId="3" fontId="2" fillId="0" borderId="14" xfId="1" applyNumberFormat="1" applyFont="1" applyFill="1" applyBorder="1" applyAlignment="1">
      <alignment horizontal="center" vertical="center"/>
    </xf>
    <xf numFmtId="3" fontId="2" fillId="0" borderId="29" xfId="1" applyNumberFormat="1" applyFont="1" applyFill="1" applyBorder="1" applyAlignment="1">
      <alignment horizontal="center" vertical="center"/>
    </xf>
    <xf numFmtId="10" fontId="2" fillId="0" borderId="30" xfId="1" applyNumberFormat="1" applyFont="1" applyFill="1" applyBorder="1" applyAlignment="1">
      <alignment vertical="center"/>
    </xf>
    <xf numFmtId="10" fontId="3" fillId="0" borderId="31" xfId="1" applyNumberFormat="1" applyFont="1" applyFill="1" applyBorder="1" applyAlignment="1">
      <alignment vertical="center"/>
    </xf>
    <xf numFmtId="3" fontId="20" fillId="0" borderId="14" xfId="1" applyNumberFormat="1" applyFont="1" applyFill="1" applyBorder="1" applyAlignment="1">
      <alignment horizontal="center" vertical="center"/>
    </xf>
    <xf numFmtId="3" fontId="20" fillId="0" borderId="16" xfId="1" applyNumberFormat="1" applyFont="1" applyFill="1" applyBorder="1" applyAlignment="1">
      <alignment horizontal="center" vertical="center"/>
    </xf>
    <xf numFmtId="16" fontId="0" fillId="0" borderId="0" xfId="0" applyNumberFormat="1"/>
    <xf numFmtId="14" fontId="0" fillId="0" borderId="0" xfId="0" applyNumberFormat="1"/>
    <xf numFmtId="10" fontId="2" fillId="0" borderId="0" xfId="0" applyNumberFormat="1" applyFont="1" applyAlignment="1">
      <alignment vertical="center"/>
    </xf>
    <xf numFmtId="10" fontId="3" fillId="0" borderId="0" xfId="1" applyNumberFormat="1" applyFont="1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73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165" fontId="2" fillId="0" borderId="14" xfId="0" applyNumberFormat="1" applyFont="1" applyBorder="1" applyAlignment="1">
      <alignment horizontal="left" vertical="center"/>
    </xf>
    <xf numFmtId="165" fontId="2" fillId="0" borderId="74" xfId="0" applyNumberFormat="1" applyFont="1" applyBorder="1" applyAlignment="1">
      <alignment horizontal="left" vertical="center"/>
    </xf>
    <xf numFmtId="165" fontId="2" fillId="0" borderId="29" xfId="0" applyNumberFormat="1" applyFont="1" applyBorder="1" applyAlignment="1">
      <alignment horizontal="left" vertical="center"/>
    </xf>
    <xf numFmtId="0" fontId="2" fillId="0" borderId="38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2" fillId="0" borderId="37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65" fontId="2" fillId="0" borderId="15" xfId="0" applyNumberFormat="1" applyFont="1" applyBorder="1" applyAlignment="1">
      <alignment horizontal="left" vertical="center"/>
    </xf>
    <xf numFmtId="165" fontId="2" fillId="0" borderId="75" xfId="0" applyNumberFormat="1" applyFont="1" applyBorder="1" applyAlignment="1">
      <alignment horizontal="left" vertical="center"/>
    </xf>
    <xf numFmtId="165" fontId="2" fillId="0" borderId="30" xfId="0" applyNumberFormat="1" applyFont="1" applyBorder="1" applyAlignment="1">
      <alignment horizontal="left" vertical="center"/>
    </xf>
    <xf numFmtId="9" fontId="2" fillId="0" borderId="15" xfId="1" applyFont="1" applyBorder="1" applyAlignment="1">
      <alignment horizontal="left" vertical="center"/>
    </xf>
    <xf numFmtId="9" fontId="2" fillId="0" borderId="75" xfId="1" applyFont="1" applyBorder="1" applyAlignment="1">
      <alignment horizontal="left" vertical="center"/>
    </xf>
    <xf numFmtId="9" fontId="2" fillId="0" borderId="30" xfId="1" applyFont="1" applyBorder="1" applyAlignment="1">
      <alignment horizontal="left" vertical="center"/>
    </xf>
    <xf numFmtId="164" fontId="2" fillId="0" borderId="15" xfId="0" applyNumberFormat="1" applyFont="1" applyBorder="1" applyAlignment="1">
      <alignment horizontal="left" vertical="center"/>
    </xf>
    <xf numFmtId="164" fontId="2" fillId="0" borderId="75" xfId="0" applyNumberFormat="1" applyFont="1" applyBorder="1" applyAlignment="1">
      <alignment horizontal="left" vertical="center"/>
    </xf>
    <xf numFmtId="164" fontId="2" fillId="0" borderId="30" xfId="0" applyNumberFormat="1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/>
    </xf>
    <xf numFmtId="0" fontId="2" fillId="0" borderId="40" xfId="0" applyFont="1" applyBorder="1" applyAlignment="1">
      <alignment horizontal="left" vertical="center"/>
    </xf>
    <xf numFmtId="0" fontId="2" fillId="0" borderId="42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10" fontId="2" fillId="0" borderId="43" xfId="1" applyNumberFormat="1" applyFont="1" applyBorder="1" applyAlignment="1">
      <alignment horizontal="left" vertical="center"/>
    </xf>
    <xf numFmtId="10" fontId="2" fillId="0" borderId="76" xfId="1" applyNumberFormat="1" applyFont="1" applyBorder="1" applyAlignment="1">
      <alignment horizontal="left" vertical="center"/>
    </xf>
    <xf numFmtId="10" fontId="2" fillId="0" borderId="44" xfId="1" applyNumberFormat="1" applyFont="1" applyBorder="1" applyAlignment="1">
      <alignment horizontal="left" vertical="center"/>
    </xf>
    <xf numFmtId="0" fontId="5" fillId="0" borderId="45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/>
    </xf>
    <xf numFmtId="0" fontId="4" fillId="0" borderId="77" xfId="0" applyFont="1" applyBorder="1" applyAlignment="1">
      <alignment horizontal="left" vertical="center" wrapText="1" indent="1"/>
    </xf>
    <xf numFmtId="0" fontId="4" fillId="0" borderId="81" xfId="0" applyFont="1" applyBorder="1" applyAlignment="1">
      <alignment horizontal="left" vertical="center" indent="1"/>
    </xf>
    <xf numFmtId="0" fontId="4" fillId="0" borderId="82" xfId="0" applyFont="1" applyBorder="1" applyAlignment="1">
      <alignment horizontal="left" vertical="center" indent="1"/>
    </xf>
    <xf numFmtId="0" fontId="9" fillId="0" borderId="39" xfId="0" applyFont="1" applyBorder="1" applyAlignment="1">
      <alignment horizontal="left" vertical="center"/>
    </xf>
    <xf numFmtId="0" fontId="9" fillId="0" borderId="40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9" fontId="2" fillId="0" borderId="15" xfId="1" applyNumberFormat="1" applyFont="1" applyBorder="1" applyAlignment="1">
      <alignment horizontal="left" vertical="center"/>
    </xf>
    <xf numFmtId="9" fontId="2" fillId="0" borderId="75" xfId="1" applyNumberFormat="1" applyFont="1" applyBorder="1" applyAlignment="1">
      <alignment horizontal="left" vertical="center"/>
    </xf>
    <xf numFmtId="9" fontId="2" fillId="0" borderId="30" xfId="1" applyNumberFormat="1" applyFont="1" applyBorder="1" applyAlignment="1">
      <alignment horizontal="left" vertical="center"/>
    </xf>
    <xf numFmtId="0" fontId="4" fillId="0" borderId="46" xfId="0" applyFont="1" applyBorder="1" applyAlignment="1">
      <alignment horizontal="left" vertical="center" wrapText="1"/>
    </xf>
    <xf numFmtId="0" fontId="4" fillId="0" borderId="46" xfId="0" applyFont="1" applyBorder="1" applyAlignment="1">
      <alignment horizontal="left" vertical="center"/>
    </xf>
    <xf numFmtId="0" fontId="4" fillId="0" borderId="47" xfId="0" applyFont="1" applyBorder="1" applyAlignment="1">
      <alignment horizontal="left" vertical="center"/>
    </xf>
    <xf numFmtId="0" fontId="6" fillId="2" borderId="51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3" xfId="0" applyFont="1" applyFill="1" applyBorder="1" applyAlignment="1">
      <alignment horizontal="center" vertical="top"/>
    </xf>
    <xf numFmtId="0" fontId="8" fillId="0" borderId="48" xfId="0" applyFont="1" applyFill="1" applyBorder="1" applyAlignment="1">
      <alignment horizontal="center" vertical="top"/>
    </xf>
    <xf numFmtId="0" fontId="8" fillId="0" borderId="41" xfId="0" applyFont="1" applyFill="1" applyBorder="1" applyAlignment="1">
      <alignment horizontal="center" vertical="top"/>
    </xf>
    <xf numFmtId="0" fontId="8" fillId="0" borderId="50" xfId="0" applyFont="1" applyFill="1" applyBorder="1" applyAlignment="1">
      <alignment horizontal="center" vertical="top"/>
    </xf>
    <xf numFmtId="0" fontId="3" fillId="3" borderId="78" xfId="0" applyFont="1" applyFill="1" applyBorder="1" applyAlignment="1">
      <alignment horizontal="center" vertical="center"/>
    </xf>
    <xf numFmtId="0" fontId="3" fillId="3" borderId="79" xfId="0" applyFont="1" applyFill="1" applyBorder="1" applyAlignment="1">
      <alignment horizontal="center" vertical="center"/>
    </xf>
    <xf numFmtId="0" fontId="3" fillId="3" borderId="80" xfId="0" applyFont="1" applyFill="1" applyBorder="1" applyAlignment="1">
      <alignment horizontal="center" vertical="center"/>
    </xf>
    <xf numFmtId="0" fontId="4" fillId="0" borderId="46" xfId="0" applyFont="1" applyBorder="1" applyAlignment="1">
      <alignment horizontal="left" vertical="center" wrapText="1" indent="1"/>
    </xf>
    <xf numFmtId="0" fontId="4" fillId="0" borderId="46" xfId="0" applyFont="1" applyBorder="1" applyAlignment="1">
      <alignment horizontal="left" vertical="center" indent="1"/>
    </xf>
    <xf numFmtId="0" fontId="4" fillId="0" borderId="77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9" fillId="0" borderId="37" xfId="0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9" fillId="0" borderId="38" xfId="0" applyFont="1" applyBorder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0" fontId="10" fillId="0" borderId="55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</cellXfs>
  <cellStyles count="4">
    <cellStyle name="Comma" xfId="3" builtinId="3"/>
    <cellStyle name="Comma 2" xfId="2"/>
    <cellStyle name="Normal" xfId="0" builtinId="0"/>
    <cellStyle name="Percent" xfId="1" builtinId="5"/>
  </cellStyles>
  <dxfs count="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18" Type="http://schemas.openxmlformats.org/officeDocument/2006/relationships/image" Target="../media/image44.jpeg"/><Relationship Id="rId3" Type="http://schemas.openxmlformats.org/officeDocument/2006/relationships/image" Target="../media/image29.jpg"/><Relationship Id="rId21" Type="http://schemas.openxmlformats.org/officeDocument/2006/relationships/image" Target="../media/image47.jpeg"/><Relationship Id="rId7" Type="http://schemas.openxmlformats.org/officeDocument/2006/relationships/image" Target="../media/image33.jpg"/><Relationship Id="rId12" Type="http://schemas.openxmlformats.org/officeDocument/2006/relationships/image" Target="../media/image38.jpg"/><Relationship Id="rId17" Type="http://schemas.openxmlformats.org/officeDocument/2006/relationships/image" Target="../media/image43.jpeg"/><Relationship Id="rId2" Type="http://schemas.openxmlformats.org/officeDocument/2006/relationships/image" Target="../media/image28.jpeg"/><Relationship Id="rId16" Type="http://schemas.openxmlformats.org/officeDocument/2006/relationships/image" Target="../media/image42.jpeg"/><Relationship Id="rId20" Type="http://schemas.openxmlformats.org/officeDocument/2006/relationships/image" Target="../media/image46.jpeg"/><Relationship Id="rId1" Type="http://schemas.openxmlformats.org/officeDocument/2006/relationships/image" Target="../media/image1.jpeg"/><Relationship Id="rId6" Type="http://schemas.openxmlformats.org/officeDocument/2006/relationships/image" Target="../media/image32.jpeg"/><Relationship Id="rId11" Type="http://schemas.openxmlformats.org/officeDocument/2006/relationships/image" Target="../media/image37.jpg"/><Relationship Id="rId5" Type="http://schemas.openxmlformats.org/officeDocument/2006/relationships/image" Target="../media/image31.jpg"/><Relationship Id="rId15" Type="http://schemas.openxmlformats.org/officeDocument/2006/relationships/image" Target="../media/image41.jpeg"/><Relationship Id="rId10" Type="http://schemas.openxmlformats.org/officeDocument/2006/relationships/image" Target="../media/image36.jpeg"/><Relationship Id="rId19" Type="http://schemas.openxmlformats.org/officeDocument/2006/relationships/image" Target="../media/image45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Relationship Id="rId22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72873</xdr:colOff>
      <xdr:row>1</xdr:row>
      <xdr:rowOff>34685</xdr:rowOff>
    </xdr:from>
    <xdr:to>
      <xdr:col>2</xdr:col>
      <xdr:colOff>895833</xdr:colOff>
      <xdr:row>1</xdr:row>
      <xdr:rowOff>674765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302" y="219742"/>
          <a:ext cx="822960" cy="640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116418</xdr:colOff>
      <xdr:row>1</xdr:row>
      <xdr:rowOff>63501</xdr:rowOff>
    </xdr:from>
    <xdr:to>
      <xdr:col>2</xdr:col>
      <xdr:colOff>836418</xdr:colOff>
      <xdr:row>1</xdr:row>
      <xdr:rowOff>675501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043" y="254001"/>
          <a:ext cx="720000" cy="61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2077294</xdr:colOff>
      <xdr:row>6</xdr:row>
      <xdr:rowOff>68220</xdr:rowOff>
    </xdr:from>
    <xdr:to>
      <xdr:col>3</xdr:col>
      <xdr:colOff>1642954</xdr:colOff>
      <xdr:row>16</xdr:row>
      <xdr:rowOff>98700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6C77031A-A642-4C63-A74C-0019E9E9554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794" y="1782720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3</xdr:col>
      <xdr:colOff>1665679</xdr:colOff>
      <xdr:row>6</xdr:row>
      <xdr:rowOff>68977</xdr:rowOff>
    </xdr:from>
    <xdr:to>
      <xdr:col>6</xdr:col>
      <xdr:colOff>286459</xdr:colOff>
      <xdr:row>16</xdr:row>
      <xdr:rowOff>99457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47D289FD-F6BC-4130-BF26-AB95293D6C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199" y="1783477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3</xdr:col>
      <xdr:colOff>1669870</xdr:colOff>
      <xdr:row>16</xdr:row>
      <xdr:rowOff>138743</xdr:rowOff>
    </xdr:from>
    <xdr:to>
      <xdr:col>6</xdr:col>
      <xdr:colOff>290650</xdr:colOff>
      <xdr:row>26</xdr:row>
      <xdr:rowOff>169223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51F4D4AC-0CFA-4883-ADDE-7824EC72FEE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7390" y="3834443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2081485</xdr:colOff>
      <xdr:row>16</xdr:row>
      <xdr:rowOff>137986</xdr:rowOff>
    </xdr:from>
    <xdr:to>
      <xdr:col>3</xdr:col>
      <xdr:colOff>1647145</xdr:colOff>
      <xdr:row>26</xdr:row>
      <xdr:rowOff>168466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9952F342-99C3-4CAB-A4EA-8A55B5EF2D9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2985" y="3833686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3</xdr:col>
      <xdr:colOff>1666923</xdr:colOff>
      <xdr:row>27</xdr:row>
      <xdr:rowOff>13543</xdr:rowOff>
    </xdr:from>
    <xdr:to>
      <xdr:col>6</xdr:col>
      <xdr:colOff>287703</xdr:colOff>
      <xdr:row>37</xdr:row>
      <xdr:rowOff>13543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DE044F55-DB4A-468E-BDB6-0E18AC98EF1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443" y="5888563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6</xdr:col>
      <xdr:colOff>309070</xdr:colOff>
      <xdr:row>6</xdr:row>
      <xdr:rowOff>59900</xdr:rowOff>
    </xdr:from>
    <xdr:to>
      <xdr:col>8</xdr:col>
      <xdr:colOff>751030</xdr:colOff>
      <xdr:row>16</xdr:row>
      <xdr:rowOff>90380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47D289FD-F6BC-4130-BF26-AB95293D6C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7490" y="1774400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6</xdr:col>
      <xdr:colOff>308802</xdr:colOff>
      <xdr:row>16</xdr:row>
      <xdr:rowOff>140517</xdr:rowOff>
    </xdr:from>
    <xdr:to>
      <xdr:col>8</xdr:col>
      <xdr:colOff>750762</xdr:colOff>
      <xdr:row>26</xdr:row>
      <xdr:rowOff>170997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51F4D4AC-0CFA-4883-ADDE-7824EC72FEE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7222" y="3836217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6</xdr:col>
      <xdr:colOff>305251</xdr:colOff>
      <xdr:row>27</xdr:row>
      <xdr:rowOff>14152</xdr:rowOff>
    </xdr:from>
    <xdr:to>
      <xdr:col>8</xdr:col>
      <xdr:colOff>747211</xdr:colOff>
      <xdr:row>37</xdr:row>
      <xdr:rowOff>14152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DE044F55-DB4A-468E-BDB6-0E18AC98EF1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3671" y="5889172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34879</xdr:colOff>
      <xdr:row>6</xdr:row>
      <xdr:rowOff>63483</xdr:rowOff>
    </xdr:from>
    <xdr:to>
      <xdr:col>2</xdr:col>
      <xdr:colOff>2046559</xdr:colOff>
      <xdr:row>16</xdr:row>
      <xdr:rowOff>93963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FDC057FC-B1A5-489D-B5AF-E76BA40A97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379" y="1777983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34880</xdr:colOff>
      <xdr:row>16</xdr:row>
      <xdr:rowOff>137440</xdr:rowOff>
    </xdr:from>
    <xdr:to>
      <xdr:col>2</xdr:col>
      <xdr:colOff>2046560</xdr:colOff>
      <xdr:row>26</xdr:row>
      <xdr:rowOff>167920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9788E3A3-1D2F-41C3-B86D-A8AC1D0FF89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380" y="3833140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2081109</xdr:colOff>
      <xdr:row>27</xdr:row>
      <xdr:rowOff>14343</xdr:rowOff>
    </xdr:from>
    <xdr:to>
      <xdr:col>3</xdr:col>
      <xdr:colOff>1646769</xdr:colOff>
      <xdr:row>37</xdr:row>
      <xdr:rowOff>14343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0E425605-2F67-4981-9226-9F93463C222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2609" y="5889363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32656</xdr:colOff>
      <xdr:row>27</xdr:row>
      <xdr:rowOff>8862</xdr:rowOff>
    </xdr:from>
    <xdr:to>
      <xdr:col>2</xdr:col>
      <xdr:colOff>2044336</xdr:colOff>
      <xdr:row>37</xdr:row>
      <xdr:rowOff>8862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09B9F7BD-ECDC-44C1-BE73-83472266967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156" y="5883882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66</xdr:row>
      <xdr:rowOff>0</xdr:rowOff>
    </xdr:from>
    <xdr:to>
      <xdr:col>20</xdr:col>
      <xdr:colOff>304800</xdr:colOff>
      <xdr:row>67</xdr:row>
      <xdr:rowOff>106680</xdr:rowOff>
    </xdr:to>
    <xdr:sp macro="" textlink="">
      <xdr:nvSpPr>
        <xdr:cNvPr id="2049" name="AutoShape 1" descr="blob:https://web.whatsapp.com/602e514e-22f7-4188-b319-98f59963f43e"/>
        <xdr:cNvSpPr>
          <a:spLocks noChangeAspect="1" noChangeArrowheads="1"/>
        </xdr:cNvSpPr>
      </xdr:nvSpPr>
      <xdr:spPr bwMode="auto">
        <a:xfrm>
          <a:off x="18318480" y="13655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49</xdr:row>
      <xdr:rowOff>0</xdr:rowOff>
    </xdr:from>
    <xdr:to>
      <xdr:col>20</xdr:col>
      <xdr:colOff>304800</xdr:colOff>
      <xdr:row>50</xdr:row>
      <xdr:rowOff>106680</xdr:rowOff>
    </xdr:to>
    <xdr:sp macro="" textlink="">
      <xdr:nvSpPr>
        <xdr:cNvPr id="2059" name="AutoShape 11" descr="blob:https://web.whatsapp.com/d92ac9dd-70f9-4b0a-bb41-891ffe453efb"/>
        <xdr:cNvSpPr>
          <a:spLocks noChangeAspect="1" noChangeArrowheads="1"/>
        </xdr:cNvSpPr>
      </xdr:nvSpPr>
      <xdr:spPr bwMode="auto">
        <a:xfrm>
          <a:off x="18318480" y="103098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10886</xdr:colOff>
      <xdr:row>4</xdr:row>
      <xdr:rowOff>32658</xdr:rowOff>
    </xdr:from>
    <xdr:to>
      <xdr:col>16</xdr:col>
      <xdr:colOff>827314</xdr:colOff>
      <xdr:row>37</xdr:row>
      <xdr:rowOff>163286</xdr:rowOff>
    </xdr:to>
    <xdr:pic>
      <xdr:nvPicPr>
        <xdr:cNvPr id="63" name="Picture 62"/>
        <xdr:cNvPicPr/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958943" y="1360715"/>
          <a:ext cx="8229600" cy="6629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2078765</xdr:colOff>
      <xdr:row>42</xdr:row>
      <xdr:rowOff>47982</xdr:rowOff>
    </xdr:from>
    <xdr:to>
      <xdr:col>3</xdr:col>
      <xdr:colOff>1641159</xdr:colOff>
      <xdr:row>52</xdr:row>
      <xdr:rowOff>101130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6C77031A-A642-4C63-A74C-0019E9E9554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822" y="8908953"/>
          <a:ext cx="2011680" cy="2012577"/>
        </a:xfrm>
        <a:prstGeom prst="rect">
          <a:avLst/>
        </a:prstGeom>
      </xdr:spPr>
    </xdr:pic>
    <xdr:clientData/>
  </xdr:twoCellAnchor>
  <xdr:twoCellAnchor editAs="oneCell">
    <xdr:from>
      <xdr:col>3</xdr:col>
      <xdr:colOff>1667072</xdr:colOff>
      <xdr:row>42</xdr:row>
      <xdr:rowOff>44559</xdr:rowOff>
    </xdr:from>
    <xdr:to>
      <xdr:col>6</xdr:col>
      <xdr:colOff>282409</xdr:colOff>
      <xdr:row>52</xdr:row>
      <xdr:rowOff>96810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47D289FD-F6BC-4130-BF26-AB95293D6C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2415" y="8905530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3</xdr:col>
      <xdr:colOff>1663643</xdr:colOff>
      <xdr:row>52</xdr:row>
      <xdr:rowOff>134815</xdr:rowOff>
    </xdr:from>
    <xdr:to>
      <xdr:col>6</xdr:col>
      <xdr:colOff>278980</xdr:colOff>
      <xdr:row>62</xdr:row>
      <xdr:rowOff>187066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51F4D4AC-0CFA-4883-ADDE-7824EC72FEE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986" y="10955215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2082886</xdr:colOff>
      <xdr:row>52</xdr:row>
      <xdr:rowOff>134034</xdr:rowOff>
    </xdr:from>
    <xdr:to>
      <xdr:col>3</xdr:col>
      <xdr:colOff>1645280</xdr:colOff>
      <xdr:row>62</xdr:row>
      <xdr:rowOff>186285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9952F342-99C3-4CAB-A4EA-8A55B5EF2D9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943" y="10954434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3</xdr:col>
      <xdr:colOff>1661068</xdr:colOff>
      <xdr:row>63</xdr:row>
      <xdr:rowOff>16811</xdr:rowOff>
    </xdr:from>
    <xdr:to>
      <xdr:col>6</xdr:col>
      <xdr:colOff>276405</xdr:colOff>
      <xdr:row>73</xdr:row>
      <xdr:rowOff>90833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DE044F55-DB4A-468E-BDB6-0E18AC98EF1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411" y="12992582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6</xdr:col>
      <xdr:colOff>300321</xdr:colOff>
      <xdr:row>42</xdr:row>
      <xdr:rowOff>46138</xdr:rowOff>
    </xdr:from>
    <xdr:to>
      <xdr:col>8</xdr:col>
      <xdr:colOff>744458</xdr:colOff>
      <xdr:row>52</xdr:row>
      <xdr:rowOff>98389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47D289FD-F6BC-4130-BF26-AB95293D6C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2007" y="8907109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6</xdr:col>
      <xdr:colOff>298708</xdr:colOff>
      <xdr:row>52</xdr:row>
      <xdr:rowOff>123169</xdr:rowOff>
    </xdr:from>
    <xdr:to>
      <xdr:col>8</xdr:col>
      <xdr:colOff>742845</xdr:colOff>
      <xdr:row>62</xdr:row>
      <xdr:rowOff>175420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51F4D4AC-0CFA-4883-ADDE-7824EC72FEE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0394" y="10943569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6</xdr:col>
      <xdr:colOff>309433</xdr:colOff>
      <xdr:row>63</xdr:row>
      <xdr:rowOff>16791</xdr:rowOff>
    </xdr:from>
    <xdr:to>
      <xdr:col>8</xdr:col>
      <xdr:colOff>753570</xdr:colOff>
      <xdr:row>73</xdr:row>
      <xdr:rowOff>90813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DE044F55-DB4A-468E-BDB6-0E18AC98EF1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119" y="12992562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50427</xdr:colOff>
      <xdr:row>42</xdr:row>
      <xdr:rowOff>43555</xdr:rowOff>
    </xdr:from>
    <xdr:to>
      <xdr:col>2</xdr:col>
      <xdr:colOff>2062107</xdr:colOff>
      <xdr:row>52</xdr:row>
      <xdr:rowOff>95806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FDC057FC-B1A5-489D-B5AF-E76BA40A97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484" y="8904526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44869</xdr:colOff>
      <xdr:row>52</xdr:row>
      <xdr:rowOff>124606</xdr:rowOff>
    </xdr:from>
    <xdr:to>
      <xdr:col>2</xdr:col>
      <xdr:colOff>2056549</xdr:colOff>
      <xdr:row>62</xdr:row>
      <xdr:rowOff>176857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9788E3A3-1D2F-41C3-B86D-A8AC1D0FF89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926" y="10945006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2082103</xdr:colOff>
      <xdr:row>63</xdr:row>
      <xdr:rowOff>17500</xdr:rowOff>
    </xdr:from>
    <xdr:to>
      <xdr:col>3</xdr:col>
      <xdr:colOff>1644497</xdr:colOff>
      <xdr:row>73</xdr:row>
      <xdr:rowOff>91522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E425605-2F67-4981-9226-9F93463C222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160" y="12993271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43544</xdr:colOff>
      <xdr:row>63</xdr:row>
      <xdr:rowOff>24473</xdr:rowOff>
    </xdr:from>
    <xdr:to>
      <xdr:col>2</xdr:col>
      <xdr:colOff>2055224</xdr:colOff>
      <xdr:row>73</xdr:row>
      <xdr:rowOff>98495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9B9F7BD-ECDC-44C1-BE73-83472266967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3000244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10</xdr:col>
      <xdr:colOff>32658</xdr:colOff>
      <xdr:row>42</xdr:row>
      <xdr:rowOff>65327</xdr:rowOff>
    </xdr:from>
    <xdr:to>
      <xdr:col>16</xdr:col>
      <xdr:colOff>810585</xdr:colOff>
      <xdr:row>73</xdr:row>
      <xdr:rowOff>141526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0715" y="8926298"/>
          <a:ext cx="8191099" cy="6128657"/>
        </a:xfrm>
        <a:prstGeom prst="rect">
          <a:avLst/>
        </a:prstGeom>
      </xdr:spPr>
    </xdr:pic>
    <xdr:clientData/>
  </xdr:twoCellAnchor>
  <xdr:oneCellAnchor>
    <xdr:from>
      <xdr:col>2</xdr:col>
      <xdr:colOff>457201</xdr:colOff>
      <xdr:row>50</xdr:row>
      <xdr:rowOff>54430</xdr:rowOff>
    </xdr:from>
    <xdr:ext cx="7597678" cy="937629"/>
    <xdr:sp macro="" textlink="">
      <xdr:nvSpPr>
        <xdr:cNvPr id="37" name="Rectangle 36"/>
        <xdr:cNvSpPr/>
      </xdr:nvSpPr>
      <xdr:spPr>
        <a:xfrm>
          <a:off x="1023258" y="10482944"/>
          <a:ext cx="7597678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Hand Over</a:t>
          </a:r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Stage</a:t>
          </a:r>
          <a:endParaRPr lang="en-US" sz="5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72873</xdr:colOff>
      <xdr:row>1</xdr:row>
      <xdr:rowOff>34685</xdr:rowOff>
    </xdr:from>
    <xdr:to>
      <xdr:col>2</xdr:col>
      <xdr:colOff>895833</xdr:colOff>
      <xdr:row>1</xdr:row>
      <xdr:rowOff>674765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73" y="225185"/>
          <a:ext cx="822960" cy="640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116418</xdr:colOff>
      <xdr:row>1</xdr:row>
      <xdr:rowOff>63501</xdr:rowOff>
    </xdr:from>
    <xdr:to>
      <xdr:col>2</xdr:col>
      <xdr:colOff>836418</xdr:colOff>
      <xdr:row>1</xdr:row>
      <xdr:rowOff>675501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043" y="244476"/>
          <a:ext cx="720000" cy="61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2072301</xdr:colOff>
      <xdr:row>6</xdr:row>
      <xdr:rowOff>57905</xdr:rowOff>
    </xdr:from>
    <xdr:to>
      <xdr:col>3</xdr:col>
      <xdr:colOff>1634696</xdr:colOff>
      <xdr:row>16</xdr:row>
      <xdr:rowOff>110156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6C77031A-A642-4C63-A74C-0019E9E9554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7730" y="1690762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3</xdr:col>
      <xdr:colOff>1661328</xdr:colOff>
      <xdr:row>6</xdr:row>
      <xdr:rowOff>61592</xdr:rowOff>
    </xdr:from>
    <xdr:to>
      <xdr:col>6</xdr:col>
      <xdr:colOff>276665</xdr:colOff>
      <xdr:row>16</xdr:row>
      <xdr:rowOff>113843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47D289FD-F6BC-4130-BF26-AB95293D6C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042" y="1694449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3</xdr:col>
      <xdr:colOff>1651367</xdr:colOff>
      <xdr:row>16</xdr:row>
      <xdr:rowOff>115279</xdr:rowOff>
    </xdr:from>
    <xdr:to>
      <xdr:col>6</xdr:col>
      <xdr:colOff>266704</xdr:colOff>
      <xdr:row>26</xdr:row>
      <xdr:rowOff>167531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51F4D4AC-0CFA-4883-ADDE-7824EC72FEE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6081" y="3707565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2072464</xdr:colOff>
      <xdr:row>16</xdr:row>
      <xdr:rowOff>120737</xdr:rowOff>
    </xdr:from>
    <xdr:to>
      <xdr:col>3</xdr:col>
      <xdr:colOff>1634859</xdr:colOff>
      <xdr:row>26</xdr:row>
      <xdr:rowOff>172989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9952F342-99C3-4CAB-A4EA-8A55B5EF2D9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7893" y="3713023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6</xdr:col>
      <xdr:colOff>289351</xdr:colOff>
      <xdr:row>6</xdr:row>
      <xdr:rowOff>57988</xdr:rowOff>
    </xdr:from>
    <xdr:to>
      <xdr:col>8</xdr:col>
      <xdr:colOff>733488</xdr:colOff>
      <xdr:row>16</xdr:row>
      <xdr:rowOff>110239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47D289FD-F6BC-4130-BF26-AB95293D6C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0408" y="1690845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6</xdr:col>
      <xdr:colOff>296703</xdr:colOff>
      <xdr:row>16</xdr:row>
      <xdr:rowOff>122526</xdr:rowOff>
    </xdr:from>
    <xdr:to>
      <xdr:col>8</xdr:col>
      <xdr:colOff>740840</xdr:colOff>
      <xdr:row>26</xdr:row>
      <xdr:rowOff>174778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51F4D4AC-0CFA-4883-ADDE-7824EC72FEE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760" y="3714812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38149</xdr:colOff>
      <xdr:row>16</xdr:row>
      <xdr:rowOff>121595</xdr:rowOff>
    </xdr:from>
    <xdr:to>
      <xdr:col>2</xdr:col>
      <xdr:colOff>2049829</xdr:colOff>
      <xdr:row>26</xdr:row>
      <xdr:rowOff>173847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9788E3A3-1D2F-41C3-B86D-A8AC1D0FF89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578" y="3713881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2074054</xdr:colOff>
      <xdr:row>26</xdr:row>
      <xdr:rowOff>186280</xdr:rowOff>
    </xdr:from>
    <xdr:to>
      <xdr:col>3</xdr:col>
      <xdr:colOff>1636449</xdr:colOff>
      <xdr:row>37</xdr:row>
      <xdr:rowOff>9931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6C77031A-A642-4C63-A74C-0019E9E9554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9483" y="5737994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3</xdr:col>
      <xdr:colOff>1663081</xdr:colOff>
      <xdr:row>26</xdr:row>
      <xdr:rowOff>186701</xdr:rowOff>
    </xdr:from>
    <xdr:to>
      <xdr:col>6</xdr:col>
      <xdr:colOff>278418</xdr:colOff>
      <xdr:row>37</xdr:row>
      <xdr:rowOff>10352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47D289FD-F6BC-4130-BF26-AB95293D6C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7795" y="5738415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6</xdr:col>
      <xdr:colOff>306018</xdr:colOff>
      <xdr:row>26</xdr:row>
      <xdr:rowOff>190282</xdr:rowOff>
    </xdr:from>
    <xdr:to>
      <xdr:col>8</xdr:col>
      <xdr:colOff>750155</xdr:colOff>
      <xdr:row>37</xdr:row>
      <xdr:rowOff>13933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47D289FD-F6BC-4130-BF26-AB95293D6C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7075" y="5741996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39189</xdr:colOff>
      <xdr:row>6</xdr:row>
      <xdr:rowOff>60658</xdr:rowOff>
    </xdr:from>
    <xdr:to>
      <xdr:col>2</xdr:col>
      <xdr:colOff>2050869</xdr:colOff>
      <xdr:row>16</xdr:row>
      <xdr:rowOff>112909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9B9F7BD-ECDC-44C1-BE73-83472266967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18" y="1693515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2</xdr:col>
      <xdr:colOff>46809</xdr:colOff>
      <xdr:row>26</xdr:row>
      <xdr:rowOff>190200</xdr:rowOff>
    </xdr:from>
    <xdr:to>
      <xdr:col>2</xdr:col>
      <xdr:colOff>2058489</xdr:colOff>
      <xdr:row>37</xdr:row>
      <xdr:rowOff>13851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FDC057FC-B1A5-489D-B5AF-E76BA40A97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38" y="5741914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10</xdr:col>
      <xdr:colOff>70724</xdr:colOff>
      <xdr:row>5</xdr:row>
      <xdr:rowOff>171192</xdr:rowOff>
    </xdr:from>
    <xdr:to>
      <xdr:col>11</xdr:col>
      <xdr:colOff>378190</xdr:colOff>
      <xdr:row>16</xdr:row>
      <xdr:rowOff>17663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8153" y="1608106"/>
          <a:ext cx="2756751" cy="2001843"/>
        </a:xfrm>
        <a:prstGeom prst="rect">
          <a:avLst/>
        </a:prstGeom>
      </xdr:spPr>
    </xdr:pic>
    <xdr:clientData/>
  </xdr:twoCellAnchor>
  <xdr:twoCellAnchor editAs="oneCell">
    <xdr:from>
      <xdr:col>10</xdr:col>
      <xdr:colOff>53648</xdr:colOff>
      <xdr:row>16</xdr:row>
      <xdr:rowOff>73129</xdr:rowOff>
    </xdr:from>
    <xdr:to>
      <xdr:col>11</xdr:col>
      <xdr:colOff>294265</xdr:colOff>
      <xdr:row>26</xdr:row>
      <xdr:rowOff>33937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077" y="3665415"/>
          <a:ext cx="2689902" cy="1920236"/>
        </a:xfrm>
        <a:prstGeom prst="rect">
          <a:avLst/>
        </a:prstGeom>
      </xdr:spPr>
    </xdr:pic>
    <xdr:clientData/>
  </xdr:twoCellAnchor>
  <xdr:twoCellAnchor editAs="oneCell">
    <xdr:from>
      <xdr:col>13</xdr:col>
      <xdr:colOff>705562</xdr:colOff>
      <xdr:row>26</xdr:row>
      <xdr:rowOff>117023</xdr:rowOff>
    </xdr:from>
    <xdr:to>
      <xdr:col>16</xdr:col>
      <xdr:colOff>707572</xdr:colOff>
      <xdr:row>36</xdr:row>
      <xdr:rowOff>182717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7391" y="5668737"/>
          <a:ext cx="2690781" cy="2057780"/>
        </a:xfrm>
        <a:prstGeom prst="rect">
          <a:avLst/>
        </a:prstGeom>
      </xdr:spPr>
    </xdr:pic>
    <xdr:clientData/>
  </xdr:twoCellAnchor>
  <xdr:twoCellAnchor editAs="oneCell">
    <xdr:from>
      <xdr:col>13</xdr:col>
      <xdr:colOff>730870</xdr:colOff>
      <xdr:row>16</xdr:row>
      <xdr:rowOff>79905</xdr:rowOff>
    </xdr:from>
    <xdr:to>
      <xdr:col>16</xdr:col>
      <xdr:colOff>732881</xdr:colOff>
      <xdr:row>26</xdr:row>
      <xdr:rowOff>24922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2699" y="3672191"/>
          <a:ext cx="2690782" cy="1904445"/>
        </a:xfrm>
        <a:prstGeom prst="rect">
          <a:avLst/>
        </a:prstGeom>
      </xdr:spPr>
    </xdr:pic>
    <xdr:clientData/>
  </xdr:twoCellAnchor>
  <xdr:twoCellAnchor editAs="oneCell">
    <xdr:from>
      <xdr:col>13</xdr:col>
      <xdr:colOff>651863</xdr:colOff>
      <xdr:row>5</xdr:row>
      <xdr:rowOff>152409</xdr:rowOff>
    </xdr:from>
    <xdr:to>
      <xdr:col>16</xdr:col>
      <xdr:colOff>653874</xdr:colOff>
      <xdr:row>16</xdr:row>
      <xdr:rowOff>12125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3692" y="1589323"/>
          <a:ext cx="2690782" cy="2015088"/>
        </a:xfrm>
        <a:prstGeom prst="rect">
          <a:avLst/>
        </a:prstGeom>
      </xdr:spPr>
    </xdr:pic>
    <xdr:clientData/>
  </xdr:twoCellAnchor>
  <xdr:twoCellAnchor editAs="oneCell">
    <xdr:from>
      <xdr:col>11</xdr:col>
      <xdr:colOff>300498</xdr:colOff>
      <xdr:row>26</xdr:row>
      <xdr:rowOff>116170</xdr:rowOff>
    </xdr:from>
    <xdr:to>
      <xdr:col>13</xdr:col>
      <xdr:colOff>717854</xdr:colOff>
      <xdr:row>36</xdr:row>
      <xdr:rowOff>190831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7212" y="5667884"/>
          <a:ext cx="2692471" cy="2066747"/>
        </a:xfrm>
        <a:prstGeom prst="rect">
          <a:avLst/>
        </a:prstGeom>
      </xdr:spPr>
    </xdr:pic>
    <xdr:clientData/>
  </xdr:twoCellAnchor>
  <xdr:twoCellAnchor editAs="oneCell">
    <xdr:from>
      <xdr:col>11</xdr:col>
      <xdr:colOff>326768</xdr:colOff>
      <xdr:row>16</xdr:row>
      <xdr:rowOff>58205</xdr:rowOff>
    </xdr:from>
    <xdr:to>
      <xdr:col>13</xdr:col>
      <xdr:colOff>743333</xdr:colOff>
      <xdr:row>26</xdr:row>
      <xdr:rowOff>8714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3482" y="3650491"/>
          <a:ext cx="2691680" cy="1909937"/>
        </a:xfrm>
        <a:prstGeom prst="rect">
          <a:avLst/>
        </a:prstGeom>
      </xdr:spPr>
    </xdr:pic>
    <xdr:clientData/>
  </xdr:twoCellAnchor>
  <xdr:twoCellAnchor editAs="oneCell">
    <xdr:from>
      <xdr:col>10</xdr:col>
      <xdr:colOff>32658</xdr:colOff>
      <xdr:row>26</xdr:row>
      <xdr:rowOff>102610</xdr:rowOff>
    </xdr:from>
    <xdr:to>
      <xdr:col>11</xdr:col>
      <xdr:colOff>273275</xdr:colOff>
      <xdr:row>36</xdr:row>
      <xdr:rowOff>183248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0087" y="5654324"/>
          <a:ext cx="2689902" cy="2072724"/>
        </a:xfrm>
        <a:prstGeom prst="rect">
          <a:avLst/>
        </a:prstGeom>
      </xdr:spPr>
    </xdr:pic>
    <xdr:clientData/>
  </xdr:twoCellAnchor>
  <xdr:twoCellAnchor editAs="oneCell">
    <xdr:from>
      <xdr:col>11</xdr:col>
      <xdr:colOff>269765</xdr:colOff>
      <xdr:row>5</xdr:row>
      <xdr:rowOff>156484</xdr:rowOff>
    </xdr:from>
    <xdr:to>
      <xdr:col>13</xdr:col>
      <xdr:colOff>686329</xdr:colOff>
      <xdr:row>16</xdr:row>
      <xdr:rowOff>22004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6479" y="1593398"/>
          <a:ext cx="2691679" cy="2020892"/>
        </a:xfrm>
        <a:prstGeom prst="rect">
          <a:avLst/>
        </a:prstGeom>
      </xdr:spPr>
    </xdr:pic>
    <xdr:clientData/>
  </xdr:twoCellAnchor>
  <xdr:oneCellAnchor>
    <xdr:from>
      <xdr:col>2</xdr:col>
      <xdr:colOff>435979</xdr:colOff>
      <xdr:row>14</xdr:row>
      <xdr:rowOff>86356</xdr:rowOff>
    </xdr:from>
    <xdr:ext cx="7597678" cy="937629"/>
    <xdr:sp macro="" textlink="">
      <xdr:nvSpPr>
        <xdr:cNvPr id="3" name="Rectangle 2"/>
        <xdr:cNvSpPr/>
      </xdr:nvSpPr>
      <xdr:spPr>
        <a:xfrm>
          <a:off x="871408" y="3286756"/>
          <a:ext cx="7597678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Hand Over</a:t>
          </a:r>
          <a:r>
            <a:rPr lang="en-US" sz="5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Stage</a:t>
          </a:r>
          <a:endParaRPr lang="en-US" sz="5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C1:AP64"/>
  <sheetViews>
    <sheetView tabSelected="1" view="pageBreakPreview" zoomScale="85" zoomScaleNormal="90" zoomScaleSheetLayoutView="85" workbookViewId="0">
      <selection activeCell="Q87" sqref="P86:Q87"/>
    </sheetView>
  </sheetViews>
  <sheetFormatPr defaultColWidth="9.109375" defaultRowHeight="13.8" x14ac:dyDescent="0.3"/>
  <cols>
    <col min="1" max="2" width="2.33203125" style="1" customWidth="1"/>
    <col min="3" max="3" width="38.6640625" style="1" customWidth="1"/>
    <col min="4" max="4" width="31.44140625" style="1" customWidth="1"/>
    <col min="5" max="5" width="1.6640625" style="1" customWidth="1"/>
    <col min="6" max="6" width="16.33203125" style="1" customWidth="1"/>
    <col min="7" max="8" width="11.44140625" style="1" customWidth="1"/>
    <col min="9" max="9" width="11.44140625" style="46" customWidth="1"/>
    <col min="10" max="10" width="11.44140625" style="1" customWidth="1"/>
    <col min="11" max="11" width="2.6640625" style="1" customWidth="1"/>
    <col min="12" max="12" width="38.6640625" style="1" customWidth="1"/>
    <col min="13" max="13" width="34" style="1" customWidth="1"/>
    <col min="14" max="14" width="1.6640625" style="1" customWidth="1"/>
    <col min="15" max="15" width="16.33203125" style="1" customWidth="1"/>
    <col min="16" max="17" width="11.44140625" style="1" customWidth="1"/>
    <col min="18" max="18" width="11.44140625" style="46" customWidth="1"/>
    <col min="19" max="19" width="11.44140625" style="1" customWidth="1"/>
    <col min="20" max="20" width="14.33203125" style="1" customWidth="1"/>
    <col min="21" max="21" width="10.5546875" style="46" customWidth="1"/>
    <col min="22" max="22" width="11.6640625" style="46" hidden="1" customWidth="1"/>
    <col min="23" max="23" width="17.6640625" style="1" hidden="1" customWidth="1"/>
    <col min="24" max="24" width="12.33203125" style="43" hidden="1" customWidth="1"/>
    <col min="25" max="28" width="11.33203125" style="1" hidden="1" customWidth="1"/>
    <col min="29" max="29" width="12" style="1" hidden="1" customWidth="1"/>
    <col min="30" max="32" width="11.33203125" style="1" hidden="1" customWidth="1"/>
    <col min="33" max="33" width="11.33203125" style="73" hidden="1" customWidth="1"/>
    <col min="34" max="34" width="12.33203125" style="73" hidden="1" customWidth="1"/>
    <col min="35" max="35" width="16.6640625" style="1" hidden="1" customWidth="1"/>
    <col min="36" max="40" width="9.109375" style="1" hidden="1" customWidth="1"/>
    <col min="41" max="41" width="4.6640625" style="1" hidden="1" customWidth="1"/>
    <col min="42" max="42" width="19" style="1" hidden="1" customWidth="1"/>
    <col min="43" max="44" width="19" style="1" customWidth="1"/>
    <col min="45" max="16384" width="9.109375" style="1"/>
  </cols>
  <sheetData>
    <row r="1" spans="3:40" ht="14.4" thickBot="1" x14ac:dyDescent="0.35"/>
    <row r="2" spans="3:40" ht="54.9" customHeight="1" thickTop="1" thickBot="1" x14ac:dyDescent="0.35">
      <c r="C2" s="199" t="s">
        <v>161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1" t="s">
        <v>162</v>
      </c>
      <c r="Q2" s="202"/>
      <c r="R2" s="202"/>
      <c r="S2" s="203"/>
      <c r="T2" s="71">
        <v>44245</v>
      </c>
    </row>
    <row r="3" spans="3:40" ht="20.100000000000001" customHeight="1" thickTop="1" thickBot="1" x14ac:dyDescent="0.35"/>
    <row r="4" spans="3:40" ht="30" customHeight="1" thickTop="1" thickBot="1" x14ac:dyDescent="0.35">
      <c r="C4" s="162" t="s">
        <v>0</v>
      </c>
      <c r="D4" s="163"/>
      <c r="E4" s="10"/>
      <c r="F4" s="189" t="s">
        <v>15</v>
      </c>
      <c r="G4" s="190"/>
      <c r="H4" s="190"/>
      <c r="I4" s="190"/>
      <c r="J4" s="191"/>
      <c r="L4" s="162" t="s">
        <v>0</v>
      </c>
      <c r="M4" s="163"/>
      <c r="N4" s="10"/>
      <c r="O4" s="189" t="s">
        <v>15</v>
      </c>
      <c r="P4" s="190"/>
      <c r="Q4" s="190"/>
      <c r="R4" s="190"/>
      <c r="S4" s="191"/>
      <c r="X4" s="115"/>
      <c r="Z4" s="77" t="s">
        <v>110</v>
      </c>
      <c r="AE4" s="115"/>
    </row>
    <row r="5" spans="3:40" ht="15.9" customHeight="1" x14ac:dyDescent="0.3">
      <c r="C5" s="11" t="s">
        <v>1</v>
      </c>
      <c r="D5" s="5" t="s">
        <v>2</v>
      </c>
      <c r="E5" s="3"/>
      <c r="F5" s="158" t="s">
        <v>24</v>
      </c>
      <c r="G5" s="159"/>
      <c r="H5" s="159"/>
      <c r="I5" s="160"/>
      <c r="J5" s="161"/>
      <c r="L5" s="11" t="s">
        <v>1</v>
      </c>
      <c r="M5" s="5" t="s">
        <v>41</v>
      </c>
      <c r="N5" s="3"/>
      <c r="O5" s="158" t="s">
        <v>24</v>
      </c>
      <c r="P5" s="159"/>
      <c r="Q5" s="159"/>
      <c r="R5" s="160"/>
      <c r="S5" s="161"/>
      <c r="X5" s="84" t="s">
        <v>107</v>
      </c>
      <c r="Y5" s="85" t="s">
        <v>103</v>
      </c>
      <c r="Z5" s="86" t="s">
        <v>111</v>
      </c>
      <c r="AA5" s="86" t="s">
        <v>112</v>
      </c>
      <c r="AB5" s="87" t="s">
        <v>114</v>
      </c>
      <c r="AC5" s="87" t="s">
        <v>113</v>
      </c>
      <c r="AE5" s="90" t="s">
        <v>115</v>
      </c>
      <c r="AF5" s="90" t="s">
        <v>112</v>
      </c>
      <c r="AG5" s="113" t="s">
        <v>114</v>
      </c>
      <c r="AH5" s="113" t="s">
        <v>113</v>
      </c>
      <c r="AI5" s="91" t="s">
        <v>28</v>
      </c>
    </row>
    <row r="6" spans="3:40" ht="15.9" customHeight="1" thickBot="1" x14ac:dyDescent="0.35">
      <c r="C6" s="22" t="s">
        <v>49</v>
      </c>
      <c r="D6" s="26" t="s">
        <v>3</v>
      </c>
      <c r="E6" s="3"/>
      <c r="F6" s="49" t="s">
        <v>28</v>
      </c>
      <c r="G6" s="50" t="s">
        <v>21</v>
      </c>
      <c r="H6" s="50" t="s">
        <v>22</v>
      </c>
      <c r="I6" s="50" t="s">
        <v>23</v>
      </c>
      <c r="J6" s="12" t="s">
        <v>103</v>
      </c>
      <c r="L6" s="22" t="s">
        <v>49</v>
      </c>
      <c r="M6" s="26" t="s">
        <v>52</v>
      </c>
      <c r="N6" s="3"/>
      <c r="O6" s="8" t="s">
        <v>28</v>
      </c>
      <c r="P6" s="9" t="s">
        <v>21</v>
      </c>
      <c r="Q6" s="9" t="s">
        <v>22</v>
      </c>
      <c r="R6" s="50" t="s">
        <v>23</v>
      </c>
      <c r="S6" s="12" t="s">
        <v>103</v>
      </c>
      <c r="W6" s="75" t="s">
        <v>104</v>
      </c>
      <c r="X6" s="82">
        <v>6966200</v>
      </c>
      <c r="Y6" s="83">
        <f>X6/X8</f>
        <v>0.68861825586682746</v>
      </c>
      <c r="Z6" s="83">
        <v>0.61499999999999999</v>
      </c>
      <c r="AA6" s="83">
        <v>0.60499999999999998</v>
      </c>
      <c r="AB6" s="83">
        <f>Y6*Z6</f>
        <v>0.42350022735809889</v>
      </c>
      <c r="AC6" s="83">
        <f>Y6*AA6</f>
        <v>0.41661404479943059</v>
      </c>
      <c r="AE6" s="73">
        <v>5.0000000000000001E-3</v>
      </c>
      <c r="AF6" s="73">
        <v>5.0000000000000001E-3</v>
      </c>
      <c r="AG6" s="73">
        <f>AE6*$Z$6</f>
        <v>3.075E-3</v>
      </c>
      <c r="AH6" s="73">
        <f>AF6*$AA$6</f>
        <v>3.0249999999999999E-3</v>
      </c>
      <c r="AI6" s="92" t="s">
        <v>16</v>
      </c>
      <c r="AK6" s="107">
        <v>0.68861825586682746</v>
      </c>
      <c r="AL6" s="108">
        <v>0.68861825586682746</v>
      </c>
      <c r="AM6" s="101">
        <v>0.78154999999999997</v>
      </c>
      <c r="AN6" s="102">
        <v>0.76760000000000006</v>
      </c>
    </row>
    <row r="7" spans="3:40" ht="15.9" customHeight="1" x14ac:dyDescent="0.3">
      <c r="C7" s="22" t="s">
        <v>4</v>
      </c>
      <c r="D7" s="26" t="s">
        <v>5</v>
      </c>
      <c r="E7" s="3"/>
      <c r="F7" s="47" t="s">
        <v>16</v>
      </c>
      <c r="G7" s="27">
        <v>0</v>
      </c>
      <c r="H7" s="27">
        <v>0</v>
      </c>
      <c r="I7" s="27">
        <f>H7-G7</f>
        <v>0</v>
      </c>
      <c r="J7" s="24">
        <v>0.18800000349913221</v>
      </c>
      <c r="L7" s="22" t="s">
        <v>4</v>
      </c>
      <c r="M7" s="26" t="s">
        <v>53</v>
      </c>
      <c r="N7" s="3"/>
      <c r="O7" s="139" t="s">
        <v>16</v>
      </c>
      <c r="P7" s="141">
        <v>0</v>
      </c>
      <c r="Q7" s="141">
        <v>4.2814989818296123E-4</v>
      </c>
      <c r="R7" s="141">
        <f>Q7-P7</f>
        <v>4.2814989818296123E-4</v>
      </c>
      <c r="S7" s="142">
        <v>0.05</v>
      </c>
      <c r="T7" s="73"/>
      <c r="W7" s="75" t="s">
        <v>105</v>
      </c>
      <c r="X7" s="78">
        <v>3150000</v>
      </c>
      <c r="Y7" s="79">
        <f>X7/X8</f>
        <v>0.31138174413317254</v>
      </c>
      <c r="Z7" s="79">
        <v>0</v>
      </c>
      <c r="AA7" s="79">
        <v>0</v>
      </c>
      <c r="AB7" s="79">
        <f>Y7*Z7</f>
        <v>0</v>
      </c>
      <c r="AC7" s="79">
        <f>Y7*AA7</f>
        <v>0</v>
      </c>
      <c r="AE7" s="73">
        <v>5.0000000000000001E-3</v>
      </c>
      <c r="AF7" s="73">
        <v>5.0000000000000001E-3</v>
      </c>
      <c r="AG7" s="73">
        <f t="shared" ref="AG7:AG9" si="0">AE7*$Z$6</f>
        <v>3.075E-3</v>
      </c>
      <c r="AH7" s="73">
        <f t="shared" ref="AH7:AH9" si="1">AF7*$AA$6</f>
        <v>3.0249999999999999E-3</v>
      </c>
      <c r="AI7" s="92" t="s">
        <v>17</v>
      </c>
      <c r="AK7" s="109">
        <v>0.68861825586682746</v>
      </c>
      <c r="AL7" s="110">
        <v>0.68861825586682746</v>
      </c>
      <c r="AM7" s="103">
        <v>0.76205625259774501</v>
      </c>
      <c r="AN7" s="104">
        <v>0.75269449590230364</v>
      </c>
    </row>
    <row r="8" spans="3:40" ht="15.9" customHeight="1" x14ac:dyDescent="0.3">
      <c r="C8" s="22" t="s">
        <v>6</v>
      </c>
      <c r="D8" s="26" t="s">
        <v>7</v>
      </c>
      <c r="E8" s="3"/>
      <c r="F8" s="6" t="s">
        <v>17</v>
      </c>
      <c r="G8" s="28">
        <v>0</v>
      </c>
      <c r="H8" s="28">
        <v>5.9999999999993392E-4</v>
      </c>
      <c r="I8" s="28">
        <f>H8-G8</f>
        <v>5.9999999999993392E-4</v>
      </c>
      <c r="J8" s="24">
        <v>0.44200000005641099</v>
      </c>
      <c r="L8" s="22" t="s">
        <v>6</v>
      </c>
      <c r="M8" s="26" t="s">
        <v>54</v>
      </c>
      <c r="N8" s="3"/>
      <c r="O8" s="143" t="s">
        <v>17</v>
      </c>
      <c r="P8" s="140">
        <v>0</v>
      </c>
      <c r="Q8" s="140">
        <v>1.338138332575467E-2</v>
      </c>
      <c r="R8" s="140">
        <f>Q8-P8</f>
        <v>1.338138332575467E-2</v>
      </c>
      <c r="S8" s="144">
        <v>0.55000000000000004</v>
      </c>
      <c r="W8" s="93" t="s">
        <v>106</v>
      </c>
      <c r="X8" s="80">
        <f>SUM(X6:X7)</f>
        <v>10116200</v>
      </c>
      <c r="Y8" s="81">
        <f>SUM(Y6:Y7)</f>
        <v>1</v>
      </c>
      <c r="Z8" s="81">
        <f t="shared" ref="Z8:AC8" si="2">SUM(Z6:Z7)</f>
        <v>0.61499999999999999</v>
      </c>
      <c r="AA8" s="81">
        <f t="shared" si="2"/>
        <v>0.60499999999999998</v>
      </c>
      <c r="AB8" s="81">
        <f t="shared" si="2"/>
        <v>0.42350022735809889</v>
      </c>
      <c r="AC8" s="81">
        <f t="shared" si="2"/>
        <v>0.41661404479943059</v>
      </c>
      <c r="AE8" s="73">
        <v>0.02</v>
      </c>
      <c r="AF8" s="73">
        <v>0.02</v>
      </c>
      <c r="AG8" s="73">
        <f t="shared" si="0"/>
        <v>1.23E-2</v>
      </c>
      <c r="AH8" s="73">
        <f t="shared" si="1"/>
        <v>1.21E-2</v>
      </c>
      <c r="AI8" s="92" t="s">
        <v>18</v>
      </c>
      <c r="AK8" s="109">
        <v>0.31676439769874065</v>
      </c>
      <c r="AL8" s="110">
        <v>0.28921966746406752</v>
      </c>
      <c r="AM8" s="103">
        <v>0.34951499999999996</v>
      </c>
      <c r="AN8" s="104">
        <v>0.32319999999999999</v>
      </c>
    </row>
    <row r="9" spans="3:40" ht="15.9" customHeight="1" x14ac:dyDescent="0.3">
      <c r="C9" s="22" t="s">
        <v>8</v>
      </c>
      <c r="D9" s="26" t="s">
        <v>118</v>
      </c>
      <c r="E9" s="3"/>
      <c r="F9" s="6" t="s">
        <v>18</v>
      </c>
      <c r="G9" s="28">
        <v>0</v>
      </c>
      <c r="H9" s="28">
        <v>5.0999999999999934E-3</v>
      </c>
      <c r="I9" s="28">
        <f>H9-G9</f>
        <v>5.0999999999999934E-3</v>
      </c>
      <c r="J9" s="24">
        <v>0.36999999637498565</v>
      </c>
      <c r="L9" s="22" t="s">
        <v>8</v>
      </c>
      <c r="M9" s="26" t="s">
        <v>9</v>
      </c>
      <c r="N9" s="3"/>
      <c r="O9" s="143" t="s">
        <v>18</v>
      </c>
      <c r="P9" s="140">
        <v>0</v>
      </c>
      <c r="Q9" s="140">
        <v>9.731915146003467E-3</v>
      </c>
      <c r="R9" s="140">
        <f>Q9-P9</f>
        <v>9.731915146003467E-3</v>
      </c>
      <c r="S9" s="144">
        <v>0.4</v>
      </c>
      <c r="W9" s="94"/>
      <c r="X9" s="74"/>
      <c r="AE9" s="73">
        <v>0</v>
      </c>
      <c r="AF9" s="73">
        <v>0</v>
      </c>
      <c r="AG9" s="73">
        <f t="shared" si="0"/>
        <v>0</v>
      </c>
      <c r="AH9" s="73">
        <f t="shared" si="1"/>
        <v>0</v>
      </c>
      <c r="AI9" s="92" t="s">
        <v>19</v>
      </c>
      <c r="AK9" s="111">
        <v>0</v>
      </c>
      <c r="AL9" s="112">
        <v>0</v>
      </c>
      <c r="AM9" s="105">
        <v>0</v>
      </c>
      <c r="AN9" s="106">
        <v>0</v>
      </c>
    </row>
    <row r="10" spans="3:40" ht="15.9" customHeight="1" x14ac:dyDescent="0.3">
      <c r="C10" s="128" t="s">
        <v>10</v>
      </c>
      <c r="D10" s="129">
        <v>115155404</v>
      </c>
      <c r="E10" s="3"/>
      <c r="F10" s="6" t="s">
        <v>19</v>
      </c>
      <c r="G10" s="28">
        <v>0</v>
      </c>
      <c r="H10" s="28">
        <v>0</v>
      </c>
      <c r="I10" s="28">
        <f>H10-G10</f>
        <v>0</v>
      </c>
      <c r="J10" s="24">
        <v>0</v>
      </c>
      <c r="L10" s="128" t="s">
        <v>10</v>
      </c>
      <c r="M10" s="129">
        <f>6435756.65+1166200</f>
        <v>7601956.6500000004</v>
      </c>
      <c r="N10" s="3"/>
      <c r="O10" s="143" t="s">
        <v>19</v>
      </c>
      <c r="P10" s="140">
        <v>0</v>
      </c>
      <c r="Q10" s="140">
        <v>0</v>
      </c>
      <c r="R10" s="140">
        <f>Q10-P10</f>
        <v>0</v>
      </c>
      <c r="S10" s="144">
        <v>0</v>
      </c>
      <c r="W10" s="75"/>
      <c r="X10" s="74"/>
      <c r="AE10" s="88">
        <v>7.4999999999999997E-3</v>
      </c>
      <c r="AF10" s="88">
        <v>7.4999999999999997E-3</v>
      </c>
      <c r="AG10" s="88">
        <f>AE10*$Z$6</f>
        <v>4.6124999999999994E-3</v>
      </c>
      <c r="AH10" s="88">
        <f>AF10*$AA$6</f>
        <v>4.5374999999999999E-3</v>
      </c>
      <c r="AI10" s="89" t="s">
        <v>20</v>
      </c>
      <c r="AK10" s="97">
        <v>0.42350022735809889</v>
      </c>
      <c r="AL10" s="98">
        <v>0.41661404479943059</v>
      </c>
      <c r="AM10" s="99">
        <v>0.46304064587846899</v>
      </c>
      <c r="AN10" s="100">
        <v>0.45561152968532298</v>
      </c>
    </row>
    <row r="11" spans="3:40" ht="15.9" customHeight="1" thickBot="1" x14ac:dyDescent="0.35">
      <c r="C11" s="128" t="s">
        <v>26</v>
      </c>
      <c r="D11" s="129">
        <v>0</v>
      </c>
      <c r="E11" s="3"/>
      <c r="F11" s="20" t="s">
        <v>20</v>
      </c>
      <c r="G11" s="51">
        <v>0</v>
      </c>
      <c r="H11" s="51">
        <v>1.0999999999999899E-3</v>
      </c>
      <c r="I11" s="51">
        <f>H11-G11</f>
        <v>1.0999999999999899E-3</v>
      </c>
      <c r="J11" s="25">
        <f>SUM(J7:J10)</f>
        <v>0.9999999999305289</v>
      </c>
      <c r="L11" s="128" t="s">
        <v>26</v>
      </c>
      <c r="M11" s="129">
        <f>-635756.65+3150000</f>
        <v>2514243.35</v>
      </c>
      <c r="N11" s="3"/>
      <c r="O11" s="145" t="s">
        <v>20</v>
      </c>
      <c r="P11" s="146">
        <v>0</v>
      </c>
      <c r="Q11" s="146">
        <v>1.1273934382475603E-2</v>
      </c>
      <c r="R11" s="146">
        <f>Q11-P11</f>
        <v>1.1273934382475603E-2</v>
      </c>
      <c r="S11" s="147">
        <f>SUM(S7:S10)</f>
        <v>1</v>
      </c>
      <c r="W11" s="95">
        <v>10116200</v>
      </c>
      <c r="X11" s="71" t="s">
        <v>116</v>
      </c>
    </row>
    <row r="12" spans="3:40" ht="15.9" customHeight="1" x14ac:dyDescent="0.3">
      <c r="C12" s="128" t="s">
        <v>27</v>
      </c>
      <c r="D12" s="129">
        <f>D10+D11</f>
        <v>115155404</v>
      </c>
      <c r="E12" s="13"/>
      <c r="F12" s="158" t="s">
        <v>25</v>
      </c>
      <c r="G12" s="159"/>
      <c r="H12" s="159"/>
      <c r="I12" s="160"/>
      <c r="J12" s="161"/>
      <c r="L12" s="128" t="s">
        <v>27</v>
      </c>
      <c r="M12" s="129">
        <f>M10+M11</f>
        <v>10116200</v>
      </c>
      <c r="N12" s="13"/>
      <c r="O12" s="158" t="s">
        <v>25</v>
      </c>
      <c r="P12" s="159"/>
      <c r="Q12" s="159"/>
      <c r="R12" s="160"/>
      <c r="S12" s="161"/>
    </row>
    <row r="13" spans="3:40" ht="15.9" customHeight="1" thickBot="1" x14ac:dyDescent="0.35">
      <c r="C13" s="128" t="s">
        <v>122</v>
      </c>
      <c r="D13" s="129">
        <v>7576299.9299999997</v>
      </c>
      <c r="E13" s="13"/>
      <c r="F13" s="49" t="s">
        <v>28</v>
      </c>
      <c r="G13" s="50" t="s">
        <v>21</v>
      </c>
      <c r="H13" s="50" t="s">
        <v>22</v>
      </c>
      <c r="I13" s="50" t="s">
        <v>23</v>
      </c>
      <c r="J13" s="12" t="s">
        <v>103</v>
      </c>
      <c r="L13" s="128" t="s">
        <v>132</v>
      </c>
      <c r="M13" s="129">
        <v>0</v>
      </c>
      <c r="N13" s="13"/>
      <c r="O13" s="8" t="s">
        <v>28</v>
      </c>
      <c r="P13" s="9" t="s">
        <v>21</v>
      </c>
      <c r="Q13" s="9" t="s">
        <v>22</v>
      </c>
      <c r="R13" s="50" t="s">
        <v>23</v>
      </c>
      <c r="S13" s="12" t="s">
        <v>103</v>
      </c>
      <c r="W13" s="75"/>
      <c r="AE13" s="90" t="s">
        <v>115</v>
      </c>
      <c r="AF13" s="90" t="s">
        <v>112</v>
      </c>
      <c r="AG13" s="113" t="s">
        <v>114</v>
      </c>
      <c r="AH13" s="113" t="s">
        <v>113</v>
      </c>
      <c r="AI13" s="91" t="s">
        <v>28</v>
      </c>
      <c r="AM13" s="118">
        <f>AM19-AM6</f>
        <v>1.1723249999999963E-2</v>
      </c>
      <c r="AN13" s="118">
        <f>AN19-AN6</f>
        <v>7.6760000000000161E-3</v>
      </c>
    </row>
    <row r="14" spans="3:40" ht="15.9" customHeight="1" x14ac:dyDescent="0.3">
      <c r="C14" s="128" t="s">
        <v>58</v>
      </c>
      <c r="D14" s="129">
        <v>6617116</v>
      </c>
      <c r="E14" s="13"/>
      <c r="F14" s="47" t="s">
        <v>16</v>
      </c>
      <c r="G14" s="28">
        <v>1</v>
      </c>
      <c r="H14" s="28">
        <v>0.82179999999999997</v>
      </c>
      <c r="I14" s="27">
        <f>H14-G14</f>
        <v>-0.17820000000000003</v>
      </c>
      <c r="J14" s="24">
        <v>0.18800000349913221</v>
      </c>
      <c r="L14" s="128" t="s">
        <v>58</v>
      </c>
      <c r="M14" s="129">
        <v>0</v>
      </c>
      <c r="N14" s="13"/>
      <c r="O14" s="139" t="s">
        <v>16</v>
      </c>
      <c r="P14" s="140">
        <v>1</v>
      </c>
      <c r="Q14" s="140">
        <v>0.84743851446195195</v>
      </c>
      <c r="R14" s="141">
        <f>Q14-P14</f>
        <v>-0.15256148553804805</v>
      </c>
      <c r="S14" s="142">
        <v>0.05</v>
      </c>
      <c r="W14" s="95">
        <f>W11*W15</f>
        <v>8084801.6336596711</v>
      </c>
      <c r="X14" s="43" t="s">
        <v>96</v>
      </c>
      <c r="AE14" s="76">
        <v>1</v>
      </c>
      <c r="AF14" s="76">
        <v>1</v>
      </c>
      <c r="AG14" s="73">
        <f>$Y$6*AE14</f>
        <v>0.68861825586682746</v>
      </c>
      <c r="AH14" s="73">
        <f>$Y$6*AF14</f>
        <v>0.68861825586682746</v>
      </c>
      <c r="AI14" s="92" t="s">
        <v>16</v>
      </c>
      <c r="AM14" s="118">
        <f t="shared" ref="AM14:AN17" si="3">AM20-AM7</f>
        <v>9.5257031574718098E-3</v>
      </c>
      <c r="AN14" s="118">
        <f t="shared" si="3"/>
        <v>7.526944959023063E-3</v>
      </c>
    </row>
    <row r="15" spans="3:40" s="46" customFormat="1" ht="15.9" customHeight="1" x14ac:dyDescent="0.3">
      <c r="C15" s="128" t="s">
        <v>59</v>
      </c>
      <c r="D15" s="130">
        <v>118651451.92</v>
      </c>
      <c r="E15" s="13"/>
      <c r="F15" s="6" t="s">
        <v>17</v>
      </c>
      <c r="G15" s="28">
        <v>1</v>
      </c>
      <c r="H15" s="28">
        <v>0.61809999999999998</v>
      </c>
      <c r="I15" s="28">
        <f>H15-G15</f>
        <v>-0.38190000000000002</v>
      </c>
      <c r="J15" s="24">
        <v>0.44200000005641099</v>
      </c>
      <c r="L15" s="128" t="s">
        <v>59</v>
      </c>
      <c r="M15" s="130">
        <v>8420922.0800000001</v>
      </c>
      <c r="N15" s="13"/>
      <c r="O15" s="143" t="s">
        <v>17</v>
      </c>
      <c r="P15" s="140">
        <v>1</v>
      </c>
      <c r="Q15" s="140">
        <v>0.66372822799074749</v>
      </c>
      <c r="R15" s="140">
        <f>Q15-P15</f>
        <v>-0.33627177200925251</v>
      </c>
      <c r="S15" s="144">
        <v>0.55000000000000004</v>
      </c>
      <c r="U15" s="46" t="s">
        <v>120</v>
      </c>
      <c r="W15" s="96">
        <f>5567342/6966200</f>
        <v>0.79919353449513364</v>
      </c>
      <c r="X15" s="43" t="s">
        <v>100</v>
      </c>
      <c r="Y15" s="1"/>
      <c r="Z15" s="1"/>
      <c r="AA15" s="1"/>
      <c r="AB15" s="1"/>
      <c r="AC15" s="1"/>
      <c r="AD15" s="1"/>
      <c r="AE15" s="76">
        <v>1</v>
      </c>
      <c r="AF15" s="76">
        <v>1</v>
      </c>
      <c r="AG15" s="73">
        <f>$Y$6*AE15</f>
        <v>0.68861825586682746</v>
      </c>
      <c r="AH15" s="73">
        <f>$Y$6*AF15</f>
        <v>0.68861825586682746</v>
      </c>
      <c r="AI15" s="92" t="s">
        <v>17</v>
      </c>
      <c r="AM15" s="118">
        <f t="shared" si="3"/>
        <v>4.368937500000003E-3</v>
      </c>
      <c r="AN15" s="118">
        <f t="shared" si="3"/>
        <v>3.2320000000000126E-3</v>
      </c>
    </row>
    <row r="16" spans="3:40" ht="15.9" customHeight="1" x14ac:dyDescent="0.3">
      <c r="C16" s="22" t="s">
        <v>11</v>
      </c>
      <c r="D16" s="33">
        <v>43905</v>
      </c>
      <c r="E16" s="13"/>
      <c r="F16" s="6" t="s">
        <v>18</v>
      </c>
      <c r="G16" s="28">
        <v>1</v>
      </c>
      <c r="H16" s="28">
        <v>0.27860000000000001</v>
      </c>
      <c r="I16" s="28">
        <f>H16-G16</f>
        <v>-0.72140000000000004</v>
      </c>
      <c r="J16" s="24">
        <v>0.36999999637498565</v>
      </c>
      <c r="L16" s="22" t="s">
        <v>11</v>
      </c>
      <c r="M16" s="33">
        <v>44012</v>
      </c>
      <c r="N16" s="13"/>
      <c r="O16" s="143" t="s">
        <v>18</v>
      </c>
      <c r="P16" s="140">
        <v>1</v>
      </c>
      <c r="Q16" s="140">
        <v>0.39152646250568396</v>
      </c>
      <c r="R16" s="140">
        <f>Q16-P16</f>
        <v>-0.60847353749431599</v>
      </c>
      <c r="S16" s="144">
        <v>0.4</v>
      </c>
      <c r="AE16" s="76">
        <v>0.46</v>
      </c>
      <c r="AF16" s="76">
        <v>0.42</v>
      </c>
      <c r="AG16" s="73">
        <f t="shared" ref="AG16:AH17" si="4">$Y$6*AE16</f>
        <v>0.31676439769874065</v>
      </c>
      <c r="AH16" s="73">
        <f t="shared" si="4"/>
        <v>0.28921966746406752</v>
      </c>
      <c r="AI16" s="92" t="s">
        <v>18</v>
      </c>
      <c r="AM16" s="118">
        <f>AM22-AM9</f>
        <v>0</v>
      </c>
      <c r="AN16" s="118">
        <f t="shared" si="3"/>
        <v>0</v>
      </c>
    </row>
    <row r="17" spans="3:40" ht="15.9" customHeight="1" x14ac:dyDescent="0.3">
      <c r="C17" s="22" t="s">
        <v>12</v>
      </c>
      <c r="D17" s="7">
        <f>'Orig Contractual Dates'!C14</f>
        <v>382</v>
      </c>
      <c r="E17" s="13"/>
      <c r="F17" s="6" t="s">
        <v>19</v>
      </c>
      <c r="G17" s="28">
        <v>1</v>
      </c>
      <c r="H17" s="28">
        <v>0</v>
      </c>
      <c r="I17" s="28">
        <f>H17-G17</f>
        <v>-1</v>
      </c>
      <c r="J17" s="24">
        <v>0</v>
      </c>
      <c r="L17" s="22" t="s">
        <v>12</v>
      </c>
      <c r="M17" s="7">
        <v>168</v>
      </c>
      <c r="N17" s="13"/>
      <c r="O17" s="143" t="s">
        <v>19</v>
      </c>
      <c r="P17" s="140">
        <v>0</v>
      </c>
      <c r="Q17" s="140">
        <v>0</v>
      </c>
      <c r="R17" s="140">
        <f>Q17-P17</f>
        <v>0</v>
      </c>
      <c r="S17" s="144">
        <v>0</v>
      </c>
      <c r="AE17" s="76">
        <v>0</v>
      </c>
      <c r="AF17" s="76">
        <v>0</v>
      </c>
      <c r="AG17" s="73">
        <f t="shared" si="4"/>
        <v>0</v>
      </c>
      <c r="AH17" s="73">
        <f t="shared" si="4"/>
        <v>0</v>
      </c>
      <c r="AI17" s="92" t="s">
        <v>19</v>
      </c>
      <c r="AM17" s="119">
        <f t="shared" si="3"/>
        <v>4.6304064587847082E-3</v>
      </c>
      <c r="AN17" s="119">
        <f t="shared" si="3"/>
        <v>4.5561152968532359E-3</v>
      </c>
    </row>
    <row r="18" spans="3:40" ht="15.9" customHeight="1" thickBot="1" x14ac:dyDescent="0.35">
      <c r="C18" s="22" t="s">
        <v>13</v>
      </c>
      <c r="D18" s="33">
        <v>44196</v>
      </c>
      <c r="E18" s="14"/>
      <c r="F18" s="20" t="s">
        <v>20</v>
      </c>
      <c r="G18" s="51">
        <v>1</v>
      </c>
      <c r="H18" s="51">
        <v>0.54379999999999995</v>
      </c>
      <c r="I18" s="51">
        <f>H18-G18</f>
        <v>-0.45620000000000005</v>
      </c>
      <c r="J18" s="25">
        <f>SUM(J14:J17)</f>
        <v>0.9999999999305289</v>
      </c>
      <c r="L18" s="22" t="s">
        <v>13</v>
      </c>
      <c r="M18" s="33">
        <f>M16+M17</f>
        <v>44180</v>
      </c>
      <c r="N18" s="14"/>
      <c r="O18" s="145" t="s">
        <v>20</v>
      </c>
      <c r="P18" s="146">
        <v>1</v>
      </c>
      <c r="Q18" s="146">
        <v>0.56403303612028233</v>
      </c>
      <c r="R18" s="146">
        <f>Q18-P18</f>
        <v>-0.43596696387971767</v>
      </c>
      <c r="S18" s="147">
        <f>SUM(S14:S17)</f>
        <v>1</v>
      </c>
      <c r="W18" s="46" t="s">
        <v>75</v>
      </c>
      <c r="X18" s="46"/>
      <c r="Y18" s="46"/>
      <c r="Z18" s="46" t="s">
        <v>97</v>
      </c>
      <c r="AA18" s="46"/>
      <c r="AB18" s="46"/>
      <c r="AC18" s="46"/>
      <c r="AD18" s="46" t="s">
        <v>88</v>
      </c>
      <c r="AE18" s="88">
        <v>0.61499999999999999</v>
      </c>
      <c r="AF18" s="88">
        <v>0.60499999999999998</v>
      </c>
      <c r="AG18" s="88">
        <f t="shared" ref="AG18" si="5">$Y$6*AE18</f>
        <v>0.42350022735809889</v>
      </c>
      <c r="AH18" s="88">
        <f t="shared" ref="AH18" si="6">$Y$6*AF18</f>
        <v>0.41661404479943059</v>
      </c>
      <c r="AI18" s="89" t="s">
        <v>20</v>
      </c>
      <c r="AM18" s="46"/>
      <c r="AN18" s="46"/>
    </row>
    <row r="19" spans="3:40" ht="15.9" customHeight="1" x14ac:dyDescent="0.3">
      <c r="C19" s="22" t="s">
        <v>121</v>
      </c>
      <c r="D19" s="137">
        <v>44347</v>
      </c>
      <c r="E19" s="15"/>
      <c r="F19" s="158" t="s">
        <v>64</v>
      </c>
      <c r="G19" s="159"/>
      <c r="H19" s="159"/>
      <c r="I19" s="160"/>
      <c r="J19" s="161"/>
      <c r="L19" s="22" t="s">
        <v>121</v>
      </c>
      <c r="M19" s="33">
        <v>44180</v>
      </c>
      <c r="N19" s="15"/>
      <c r="O19" s="158" t="s">
        <v>64</v>
      </c>
      <c r="P19" s="159"/>
      <c r="Q19" s="159"/>
      <c r="R19" s="160"/>
      <c r="S19" s="161"/>
      <c r="W19" s="127" t="s">
        <v>64</v>
      </c>
      <c r="X19" s="124"/>
      <c r="Y19" s="124"/>
      <c r="Z19" s="125"/>
      <c r="AA19" s="123" t="s">
        <v>64</v>
      </c>
      <c r="AB19" s="124"/>
      <c r="AC19" s="124"/>
      <c r="AD19" s="125"/>
      <c r="AM19" s="116">
        <f>AM6*1.015</f>
        <v>0.79327324999999993</v>
      </c>
      <c r="AN19" s="116">
        <f>AN6*1.01</f>
        <v>0.77527600000000008</v>
      </c>
    </row>
    <row r="20" spans="3:40" ht="15.9" customHeight="1" thickBot="1" x14ac:dyDescent="0.35">
      <c r="C20" s="22" t="s">
        <v>14</v>
      </c>
      <c r="D20" s="137">
        <v>44369</v>
      </c>
      <c r="E20" s="14"/>
      <c r="F20" s="49" t="s">
        <v>60</v>
      </c>
      <c r="G20" s="50" t="s">
        <v>62</v>
      </c>
      <c r="H20" s="50" t="s">
        <v>61</v>
      </c>
      <c r="I20" s="50" t="s">
        <v>63</v>
      </c>
      <c r="J20" s="12"/>
      <c r="L20" s="22" t="s">
        <v>14</v>
      </c>
      <c r="M20" s="33">
        <v>44316</v>
      </c>
      <c r="N20" s="14"/>
      <c r="O20" s="8" t="s">
        <v>60</v>
      </c>
      <c r="P20" s="9" t="s">
        <v>62</v>
      </c>
      <c r="Q20" s="9" t="s">
        <v>61</v>
      </c>
      <c r="R20" s="50" t="s">
        <v>63</v>
      </c>
      <c r="S20" s="12"/>
      <c r="W20" s="49" t="s">
        <v>60</v>
      </c>
      <c r="X20" s="50" t="s">
        <v>62</v>
      </c>
      <c r="Y20" s="50" t="s">
        <v>61</v>
      </c>
      <c r="Z20" s="12" t="s">
        <v>63</v>
      </c>
      <c r="AA20" s="49" t="s">
        <v>60</v>
      </c>
      <c r="AB20" s="50" t="s">
        <v>62</v>
      </c>
      <c r="AC20" s="50" t="s">
        <v>61</v>
      </c>
      <c r="AD20" s="12" t="s">
        <v>63</v>
      </c>
      <c r="AG20" s="114"/>
      <c r="AH20" s="114"/>
      <c r="AM20" s="116">
        <f>AM7*1.0125</f>
        <v>0.77158195575521682</v>
      </c>
      <c r="AN20" s="116">
        <f>AN7*1.01</f>
        <v>0.7602214408613267</v>
      </c>
    </row>
    <row r="21" spans="3:40" s="46" customFormat="1" ht="15.9" customHeight="1" x14ac:dyDescent="0.3">
      <c r="C21" s="29" t="s">
        <v>67</v>
      </c>
      <c r="D21" s="138">
        <f>D20-D18</f>
        <v>173</v>
      </c>
      <c r="E21" s="14"/>
      <c r="F21" s="47" t="s">
        <v>65</v>
      </c>
      <c r="G21" s="126">
        <v>29</v>
      </c>
      <c r="H21" s="126">
        <v>222</v>
      </c>
      <c r="I21" s="126">
        <f>G21+H21</f>
        <v>251</v>
      </c>
      <c r="J21" s="34"/>
      <c r="L21" s="29" t="s">
        <v>67</v>
      </c>
      <c r="M21" s="7">
        <f>M20-M18</f>
        <v>136</v>
      </c>
      <c r="N21" s="14"/>
      <c r="O21" s="139" t="s">
        <v>65</v>
      </c>
      <c r="P21" s="148">
        <v>2</v>
      </c>
      <c r="Q21" s="148">
        <v>12</v>
      </c>
      <c r="R21" s="148">
        <f>P21+Q21</f>
        <v>14</v>
      </c>
      <c r="S21" s="149"/>
      <c r="W21" s="47" t="s">
        <v>65</v>
      </c>
      <c r="X21" s="30">
        <v>29</v>
      </c>
      <c r="Y21" s="30">
        <v>185</v>
      </c>
      <c r="Z21" s="34">
        <v>214</v>
      </c>
      <c r="AA21" s="47" t="s">
        <v>65</v>
      </c>
      <c r="AB21" s="148">
        <v>2</v>
      </c>
      <c r="AC21" s="148">
        <v>12</v>
      </c>
      <c r="AD21" s="148">
        <v>14</v>
      </c>
      <c r="AG21" s="114"/>
      <c r="AH21" s="114"/>
      <c r="AM21" s="116">
        <f>AM8*1.0125</f>
        <v>0.35388393749999997</v>
      </c>
      <c r="AN21" s="116">
        <f>AN8*1.01</f>
        <v>0.326432</v>
      </c>
    </row>
    <row r="22" spans="3:40" ht="15.9" customHeight="1" thickBot="1" x14ac:dyDescent="0.35">
      <c r="C22" s="131" t="s">
        <v>159</v>
      </c>
      <c r="D22" s="132">
        <v>46584556.030000001</v>
      </c>
      <c r="E22" s="14"/>
      <c r="F22" s="48" t="s">
        <v>66</v>
      </c>
      <c r="G22" s="32">
        <f>(G21*6)+X22</f>
        <v>11976</v>
      </c>
      <c r="H22" s="32">
        <f>(H21*6)+Y22</f>
        <v>66444</v>
      </c>
      <c r="I22" s="32">
        <f>G22+H22</f>
        <v>78420</v>
      </c>
      <c r="J22" s="35"/>
      <c r="L22" s="131" t="s">
        <v>159</v>
      </c>
      <c r="M22" s="132">
        <v>2992825.55</v>
      </c>
      <c r="N22" s="14"/>
      <c r="O22" s="48" t="s">
        <v>66</v>
      </c>
      <c r="P22" s="32">
        <f>(P21*6)+AB22</f>
        <v>132</v>
      </c>
      <c r="Q22" s="32">
        <f>(Q21*6)+AC22</f>
        <v>912</v>
      </c>
      <c r="R22" s="32">
        <f>P22+Q22</f>
        <v>1044</v>
      </c>
      <c r="S22" s="35"/>
      <c r="W22" s="48" t="s">
        <v>66</v>
      </c>
      <c r="X22" s="32">
        <v>11802</v>
      </c>
      <c r="Y22" s="32">
        <v>65112</v>
      </c>
      <c r="Z22" s="35">
        <v>76914</v>
      </c>
      <c r="AA22" s="48" t="s">
        <v>66</v>
      </c>
      <c r="AB22" s="32">
        <v>120</v>
      </c>
      <c r="AC22" s="32">
        <v>840</v>
      </c>
      <c r="AD22" s="32">
        <v>960</v>
      </c>
      <c r="AG22" s="114"/>
      <c r="AH22" s="114"/>
      <c r="AM22" s="116">
        <f>AM9*1.01</f>
        <v>0</v>
      </c>
      <c r="AN22" s="116">
        <f>AN9*1.01</f>
        <v>0</v>
      </c>
    </row>
    <row r="23" spans="3:40" ht="9.9" customHeight="1" thickBot="1" x14ac:dyDescent="0.35">
      <c r="C23" s="16"/>
      <c r="D23" s="14"/>
      <c r="E23" s="14"/>
      <c r="F23" s="3"/>
      <c r="G23" s="3"/>
      <c r="H23" s="3"/>
      <c r="I23" s="3"/>
      <c r="J23" s="17"/>
      <c r="L23" s="16"/>
      <c r="M23" s="14"/>
      <c r="N23" s="14"/>
      <c r="O23" s="3"/>
      <c r="P23" s="3"/>
      <c r="Q23" s="3"/>
      <c r="R23" s="3"/>
      <c r="S23" s="17"/>
      <c r="AM23" s="117">
        <f>AM10*1.01</f>
        <v>0.4676710523372537</v>
      </c>
      <c r="AN23" s="117">
        <f>AN10*1.01</f>
        <v>0.46016764498217622</v>
      </c>
    </row>
    <row r="24" spans="3:40" ht="30" customHeight="1" thickBot="1" x14ac:dyDescent="0.35">
      <c r="C24" s="174" t="s">
        <v>37</v>
      </c>
      <c r="D24" s="175"/>
      <c r="E24" s="2"/>
      <c r="F24" s="164" t="s">
        <v>29</v>
      </c>
      <c r="G24" s="165"/>
      <c r="H24" s="165"/>
      <c r="I24" s="165"/>
      <c r="J24" s="166"/>
      <c r="L24" s="174" t="s">
        <v>37</v>
      </c>
      <c r="M24" s="175"/>
      <c r="N24" s="14"/>
      <c r="O24" s="164" t="s">
        <v>29</v>
      </c>
      <c r="P24" s="165"/>
      <c r="Q24" s="165"/>
      <c r="R24" s="165"/>
      <c r="S24" s="166"/>
    </row>
    <row r="25" spans="3:40" ht="15.9" customHeight="1" x14ac:dyDescent="0.3">
      <c r="C25" s="172" t="s">
        <v>167</v>
      </c>
      <c r="D25" s="173"/>
      <c r="E25" s="18"/>
      <c r="F25" s="187" t="s">
        <v>30</v>
      </c>
      <c r="G25" s="188"/>
      <c r="H25" s="167">
        <f>'Orig Contractual Dates'!C13+D17</f>
        <v>748</v>
      </c>
      <c r="I25" s="168"/>
      <c r="J25" s="169"/>
      <c r="L25" s="172" t="s">
        <v>133</v>
      </c>
      <c r="M25" s="173"/>
      <c r="N25" s="14"/>
      <c r="O25" s="187" t="s">
        <v>30</v>
      </c>
      <c r="P25" s="188"/>
      <c r="Q25" s="167">
        <f>330+M17</f>
        <v>498</v>
      </c>
      <c r="R25" s="168"/>
      <c r="S25" s="169"/>
    </row>
    <row r="26" spans="3:40" ht="15.9" customHeight="1" x14ac:dyDescent="0.3">
      <c r="C26" s="170" t="s">
        <v>43</v>
      </c>
      <c r="D26" s="171"/>
      <c r="E26" s="18"/>
      <c r="F26" s="185" t="s">
        <v>31</v>
      </c>
      <c r="G26" s="186"/>
      <c r="H26" s="176">
        <f>(T2-'Orig Contractual Dates'!C3)+1</f>
        <v>645</v>
      </c>
      <c r="I26" s="177"/>
      <c r="J26" s="178"/>
      <c r="L26" s="170" t="s">
        <v>146</v>
      </c>
      <c r="M26" s="171"/>
      <c r="N26" s="14"/>
      <c r="O26" s="185" t="s">
        <v>31</v>
      </c>
      <c r="P26" s="186"/>
      <c r="Q26" s="176">
        <f>T2-'Orig Contractual Dates'!F3</f>
        <v>563</v>
      </c>
      <c r="R26" s="177"/>
      <c r="S26" s="178"/>
      <c r="W26" s="21"/>
    </row>
    <row r="27" spans="3:40" ht="15.9" customHeight="1" x14ac:dyDescent="0.3">
      <c r="C27" s="170" t="s">
        <v>44</v>
      </c>
      <c r="D27" s="171"/>
      <c r="E27" s="18"/>
      <c r="F27" s="185" t="s">
        <v>32</v>
      </c>
      <c r="G27" s="186"/>
      <c r="H27" s="176">
        <f>H25-H26</f>
        <v>103</v>
      </c>
      <c r="I27" s="177"/>
      <c r="J27" s="178"/>
      <c r="L27" s="170" t="s">
        <v>155</v>
      </c>
      <c r="M27" s="171"/>
      <c r="N27" s="14"/>
      <c r="O27" s="185" t="s">
        <v>32</v>
      </c>
      <c r="P27" s="186"/>
      <c r="Q27" s="176">
        <f>Q25-Q26</f>
        <v>-65</v>
      </c>
      <c r="R27" s="177"/>
      <c r="S27" s="178"/>
    </row>
    <row r="28" spans="3:40" ht="15.9" customHeight="1" x14ac:dyDescent="0.3">
      <c r="C28" s="170" t="s">
        <v>45</v>
      </c>
      <c r="D28" s="171"/>
      <c r="E28" s="18"/>
      <c r="F28" s="185" t="s">
        <v>36</v>
      </c>
      <c r="G28" s="186"/>
      <c r="H28" s="179">
        <f>IF(H26&gt;H25,"100%",H26/H25)</f>
        <v>0.86229946524064172</v>
      </c>
      <c r="I28" s="180"/>
      <c r="J28" s="181"/>
      <c r="L28" s="170" t="s">
        <v>157</v>
      </c>
      <c r="M28" s="171"/>
      <c r="N28" s="14"/>
      <c r="O28" s="185" t="s">
        <v>36</v>
      </c>
      <c r="P28" s="186"/>
      <c r="Q28" s="179" t="str">
        <f>IF(Q26&gt;Q25,"100%",Q26/Q25)</f>
        <v>100%</v>
      </c>
      <c r="R28" s="180"/>
      <c r="S28" s="181"/>
    </row>
    <row r="29" spans="3:40" ht="15.9" customHeight="1" x14ac:dyDescent="0.3">
      <c r="C29" s="170" t="s">
        <v>47</v>
      </c>
      <c r="D29" s="171"/>
      <c r="E29" s="18"/>
      <c r="F29" s="185" t="s">
        <v>33</v>
      </c>
      <c r="G29" s="186"/>
      <c r="H29" s="182">
        <v>56111211.374519303</v>
      </c>
      <c r="I29" s="183"/>
      <c r="J29" s="184"/>
      <c r="L29" s="170"/>
      <c r="M29" s="171"/>
      <c r="N29" s="14"/>
      <c r="O29" s="185" t="s">
        <v>33</v>
      </c>
      <c r="P29" s="186"/>
      <c r="Q29" s="182">
        <v>2473556.94</v>
      </c>
      <c r="R29" s="183"/>
      <c r="S29" s="184"/>
    </row>
    <row r="30" spans="3:40" ht="15.9" customHeight="1" x14ac:dyDescent="0.3">
      <c r="C30" s="170" t="s">
        <v>46</v>
      </c>
      <c r="D30" s="171"/>
      <c r="E30" s="18"/>
      <c r="F30" s="185" t="s">
        <v>34</v>
      </c>
      <c r="G30" s="186"/>
      <c r="H30" s="182">
        <f>D12-H29</f>
        <v>59044192.625480697</v>
      </c>
      <c r="I30" s="183"/>
      <c r="J30" s="184"/>
      <c r="L30" s="170"/>
      <c r="M30" s="171"/>
      <c r="N30" s="14"/>
      <c r="O30" s="185" t="s">
        <v>34</v>
      </c>
      <c r="P30" s="186"/>
      <c r="Q30" s="182">
        <f>M12-Q29</f>
        <v>7642643.0600000005</v>
      </c>
      <c r="R30" s="183"/>
      <c r="S30" s="184"/>
    </row>
    <row r="31" spans="3:40" ht="15.9" customHeight="1" thickBot="1" x14ac:dyDescent="0.35">
      <c r="C31" s="192" t="s">
        <v>134</v>
      </c>
      <c r="D31" s="193"/>
      <c r="E31" s="19"/>
      <c r="F31" s="194" t="s">
        <v>35</v>
      </c>
      <c r="G31" s="195"/>
      <c r="H31" s="196">
        <f>H29/D12</f>
        <v>0.48726511675057216</v>
      </c>
      <c r="I31" s="197"/>
      <c r="J31" s="198"/>
      <c r="L31" s="192"/>
      <c r="M31" s="193"/>
      <c r="N31" s="14"/>
      <c r="O31" s="194" t="s">
        <v>35</v>
      </c>
      <c r="P31" s="195"/>
      <c r="Q31" s="196">
        <f>Q29/M12</f>
        <v>0.2445144362507661</v>
      </c>
      <c r="R31" s="197"/>
      <c r="S31" s="198"/>
    </row>
    <row r="32" spans="3:40" ht="20.100000000000001" customHeight="1" thickTop="1" thickBot="1" x14ac:dyDescent="0.35">
      <c r="N32" s="14"/>
    </row>
    <row r="33" spans="3:34" ht="30" customHeight="1" thickTop="1" thickBot="1" x14ac:dyDescent="0.35">
      <c r="C33" s="162" t="s">
        <v>0</v>
      </c>
      <c r="D33" s="163"/>
      <c r="E33" s="10"/>
      <c r="F33" s="189" t="s">
        <v>15</v>
      </c>
      <c r="G33" s="190"/>
      <c r="H33" s="190"/>
      <c r="I33" s="190"/>
      <c r="J33" s="191"/>
      <c r="L33" s="162" t="s">
        <v>0</v>
      </c>
      <c r="M33" s="163"/>
      <c r="N33" s="14"/>
      <c r="O33" s="189" t="s">
        <v>15</v>
      </c>
      <c r="P33" s="190"/>
      <c r="Q33" s="190"/>
      <c r="R33" s="190"/>
      <c r="S33" s="191"/>
    </row>
    <row r="34" spans="3:34" ht="15.9" customHeight="1" x14ac:dyDescent="0.3">
      <c r="C34" s="120" t="s">
        <v>1</v>
      </c>
      <c r="D34" s="5" t="s">
        <v>48</v>
      </c>
      <c r="E34" s="3"/>
      <c r="F34" s="158" t="s">
        <v>24</v>
      </c>
      <c r="G34" s="159"/>
      <c r="H34" s="159"/>
      <c r="I34" s="160"/>
      <c r="J34" s="161"/>
      <c r="L34" s="11" t="s">
        <v>1</v>
      </c>
      <c r="M34" s="5" t="s">
        <v>42</v>
      </c>
      <c r="N34" s="14"/>
      <c r="O34" s="158" t="s">
        <v>24</v>
      </c>
      <c r="P34" s="159"/>
      <c r="Q34" s="159"/>
      <c r="R34" s="160"/>
      <c r="S34" s="161"/>
    </row>
    <row r="35" spans="3:34" ht="15.9" customHeight="1" thickBot="1" x14ac:dyDescent="0.35">
      <c r="C35" s="121" t="s">
        <v>49</v>
      </c>
      <c r="D35" s="26" t="s">
        <v>72</v>
      </c>
      <c r="E35" s="3"/>
      <c r="F35" s="49" t="s">
        <v>28</v>
      </c>
      <c r="G35" s="50" t="s">
        <v>21</v>
      </c>
      <c r="H35" s="50" t="s">
        <v>22</v>
      </c>
      <c r="I35" s="50" t="s">
        <v>23</v>
      </c>
      <c r="J35" s="12" t="s">
        <v>103</v>
      </c>
      <c r="L35" s="22" t="s">
        <v>49</v>
      </c>
      <c r="M35" s="26" t="s">
        <v>56</v>
      </c>
      <c r="N35" s="14"/>
      <c r="O35" s="49" t="s">
        <v>28</v>
      </c>
      <c r="P35" s="50" t="s">
        <v>21</v>
      </c>
      <c r="Q35" s="50" t="s">
        <v>22</v>
      </c>
      <c r="R35" s="50" t="s">
        <v>23</v>
      </c>
      <c r="S35" s="12" t="s">
        <v>103</v>
      </c>
    </row>
    <row r="36" spans="3:34" ht="15.9" customHeight="1" x14ac:dyDescent="0.3">
      <c r="C36" s="121" t="s">
        <v>4</v>
      </c>
      <c r="D36" s="26" t="s">
        <v>50</v>
      </c>
      <c r="E36" s="3"/>
      <c r="F36" s="47" t="s">
        <v>16</v>
      </c>
      <c r="G36" s="141">
        <v>0</v>
      </c>
      <c r="H36" s="141">
        <v>0</v>
      </c>
      <c r="I36" s="141">
        <f>H36-G36</f>
        <v>0</v>
      </c>
      <c r="J36" s="23">
        <v>0</v>
      </c>
      <c r="L36" s="22" t="s">
        <v>4</v>
      </c>
      <c r="M36" s="26" t="s">
        <v>55</v>
      </c>
      <c r="N36" s="14"/>
      <c r="O36" s="47" t="s">
        <v>16</v>
      </c>
      <c r="P36" s="27">
        <v>2.8138528138528129E-2</v>
      </c>
      <c r="Q36" s="27">
        <v>1.0281385281385336E-2</v>
      </c>
      <c r="R36" s="27">
        <f>Q36-P36</f>
        <v>-1.7857142857142794E-2</v>
      </c>
      <c r="S36" s="23">
        <v>3.2601940124374403E-2</v>
      </c>
    </row>
    <row r="37" spans="3:34" ht="15.9" customHeight="1" x14ac:dyDescent="0.3">
      <c r="C37" s="121" t="s">
        <v>6</v>
      </c>
      <c r="D37" s="26" t="s">
        <v>51</v>
      </c>
      <c r="E37" s="3"/>
      <c r="F37" s="6" t="s">
        <v>17</v>
      </c>
      <c r="G37" s="140">
        <v>0</v>
      </c>
      <c r="H37" s="140">
        <v>5.0000000000000001E-4</v>
      </c>
      <c r="I37" s="140">
        <f>H37-G37</f>
        <v>5.0000000000000001E-4</v>
      </c>
      <c r="J37" s="24">
        <v>0.6</v>
      </c>
      <c r="L37" s="22" t="s">
        <v>6</v>
      </c>
      <c r="M37" s="26" t="s">
        <v>54</v>
      </c>
      <c r="N37" s="14"/>
      <c r="O37" s="6" t="s">
        <v>17</v>
      </c>
      <c r="P37" s="28">
        <v>1.8139753218884114E-2</v>
      </c>
      <c r="Q37" s="28">
        <v>1.7927396280400576E-2</v>
      </c>
      <c r="R37" s="28">
        <f>Q37-P37</f>
        <v>-2.1235693848353776E-4</v>
      </c>
      <c r="S37" s="24">
        <v>0.3653670716770191</v>
      </c>
    </row>
    <row r="38" spans="3:34" ht="15.9" customHeight="1" x14ac:dyDescent="0.3">
      <c r="C38" s="121" t="s">
        <v>8</v>
      </c>
      <c r="D38" s="26" t="s">
        <v>118</v>
      </c>
      <c r="E38" s="3"/>
      <c r="F38" s="6" t="s">
        <v>18</v>
      </c>
      <c r="G38" s="140">
        <v>0</v>
      </c>
      <c r="H38" s="140">
        <v>5.0000000000000001E-4</v>
      </c>
      <c r="I38" s="140">
        <f>H38-G38</f>
        <v>5.0000000000000001E-4</v>
      </c>
      <c r="J38" s="24">
        <v>0.4</v>
      </c>
      <c r="L38" s="22" t="s">
        <v>8</v>
      </c>
      <c r="M38" s="26" t="s">
        <v>9</v>
      </c>
      <c r="N38" s="14"/>
      <c r="O38" s="6" t="s">
        <v>18</v>
      </c>
      <c r="P38" s="28">
        <v>2.1306966263301808E-2</v>
      </c>
      <c r="Q38" s="28">
        <v>7.2894363317054511E-3</v>
      </c>
      <c r="R38" s="28">
        <f>Q38-P38</f>
        <v>-1.4017529931596356E-2</v>
      </c>
      <c r="S38" s="24">
        <v>0.60203098819860656</v>
      </c>
    </row>
    <row r="39" spans="3:34" ht="15.9" customHeight="1" x14ac:dyDescent="0.3">
      <c r="C39" s="128" t="s">
        <v>10</v>
      </c>
      <c r="D39" s="129">
        <v>8354338</v>
      </c>
      <c r="E39" s="3"/>
      <c r="F39" s="6" t="s">
        <v>19</v>
      </c>
      <c r="G39" s="140">
        <v>0</v>
      </c>
      <c r="H39" s="140">
        <v>0</v>
      </c>
      <c r="I39" s="140">
        <f>H39-G39</f>
        <v>0</v>
      </c>
      <c r="J39" s="24">
        <v>0</v>
      </c>
      <c r="L39" s="128" t="s">
        <v>10</v>
      </c>
      <c r="M39" s="129">
        <v>58213000</v>
      </c>
      <c r="N39" s="14"/>
      <c r="O39" s="6" t="s">
        <v>19</v>
      </c>
      <c r="P39" s="28">
        <v>0</v>
      </c>
      <c r="Q39" s="28">
        <v>0</v>
      </c>
      <c r="R39" s="28">
        <f>Q39-P39</f>
        <v>0</v>
      </c>
      <c r="S39" s="24">
        <v>0</v>
      </c>
    </row>
    <row r="40" spans="3:34" ht="15.9" customHeight="1" thickBot="1" x14ac:dyDescent="0.35">
      <c r="C40" s="128" t="s">
        <v>26</v>
      </c>
      <c r="D40" s="129">
        <v>0</v>
      </c>
      <c r="E40" s="3"/>
      <c r="F40" s="20" t="s">
        <v>20</v>
      </c>
      <c r="G40" s="146">
        <v>0</v>
      </c>
      <c r="H40" s="146">
        <f>(H37*J37)+(H38*J38)</f>
        <v>5.0000000000000001E-4</v>
      </c>
      <c r="I40" s="146">
        <f>H40-G40</f>
        <v>5.0000000000000001E-4</v>
      </c>
      <c r="J40" s="25">
        <f>SUM(J36:J39)</f>
        <v>1</v>
      </c>
      <c r="L40" s="128" t="s">
        <v>26</v>
      </c>
      <c r="M40" s="129">
        <v>0</v>
      </c>
      <c r="N40" s="14"/>
      <c r="O40" s="20" t="s">
        <v>20</v>
      </c>
      <c r="P40" s="51">
        <v>2.0321109335625032E-2</v>
      </c>
      <c r="Q40" s="51">
        <v>1.1668971814531803E-2</v>
      </c>
      <c r="R40" s="51">
        <f>Q40-P40</f>
        <v>-8.6521375210932283E-3</v>
      </c>
      <c r="S40" s="25">
        <f>SUM(S36:S39)</f>
        <v>1</v>
      </c>
    </row>
    <row r="41" spans="3:34" ht="15.9" customHeight="1" x14ac:dyDescent="0.3">
      <c r="C41" s="128" t="s">
        <v>27</v>
      </c>
      <c r="D41" s="129">
        <f>D39+D40</f>
        <v>8354338</v>
      </c>
      <c r="E41" s="13"/>
      <c r="F41" s="158" t="s">
        <v>25</v>
      </c>
      <c r="G41" s="159"/>
      <c r="H41" s="159"/>
      <c r="I41" s="160"/>
      <c r="J41" s="161"/>
      <c r="L41" s="128" t="s">
        <v>27</v>
      </c>
      <c r="M41" s="129">
        <f>M39+M40</f>
        <v>58213000</v>
      </c>
      <c r="N41" s="14"/>
      <c r="O41" s="158" t="s">
        <v>25</v>
      </c>
      <c r="P41" s="159"/>
      <c r="Q41" s="159"/>
      <c r="R41" s="160"/>
      <c r="S41" s="161"/>
    </row>
    <row r="42" spans="3:34" ht="15.9" customHeight="1" thickBot="1" x14ac:dyDescent="0.35">
      <c r="C42" s="128" t="s">
        <v>122</v>
      </c>
      <c r="D42" s="129">
        <v>0</v>
      </c>
      <c r="E42" s="13"/>
      <c r="F42" s="49" t="s">
        <v>28</v>
      </c>
      <c r="G42" s="50" t="s">
        <v>21</v>
      </c>
      <c r="H42" s="50" t="s">
        <v>22</v>
      </c>
      <c r="I42" s="50" t="s">
        <v>23</v>
      </c>
      <c r="J42" s="12" t="s">
        <v>103</v>
      </c>
      <c r="L42" s="128" t="s">
        <v>122</v>
      </c>
      <c r="M42" s="129">
        <v>0</v>
      </c>
      <c r="N42" s="14"/>
      <c r="O42" s="49" t="s">
        <v>28</v>
      </c>
      <c r="P42" s="50" t="s">
        <v>21</v>
      </c>
      <c r="Q42" s="50" t="s">
        <v>22</v>
      </c>
      <c r="R42" s="50" t="s">
        <v>23</v>
      </c>
      <c r="S42" s="12" t="s">
        <v>103</v>
      </c>
    </row>
    <row r="43" spans="3:34" ht="15.9" customHeight="1" x14ac:dyDescent="0.3">
      <c r="C43" s="128" t="s">
        <v>58</v>
      </c>
      <c r="D43" s="129">
        <v>0</v>
      </c>
      <c r="E43" s="13"/>
      <c r="F43" s="47" t="s">
        <v>16</v>
      </c>
      <c r="G43" s="140">
        <v>1</v>
      </c>
      <c r="H43" s="140">
        <v>1</v>
      </c>
      <c r="I43" s="141">
        <f>H43-G43</f>
        <v>0</v>
      </c>
      <c r="J43" s="23">
        <v>0</v>
      </c>
      <c r="L43" s="128" t="s">
        <v>58</v>
      </c>
      <c r="M43" s="129">
        <v>-346353.72</v>
      </c>
      <c r="N43" s="14"/>
      <c r="O43" s="47" t="s">
        <v>16</v>
      </c>
      <c r="P43" s="28">
        <v>0.89653679653679652</v>
      </c>
      <c r="Q43" s="28">
        <v>0.73268398268398272</v>
      </c>
      <c r="R43" s="27">
        <f>Q43-P43</f>
        <v>-0.16385281385281381</v>
      </c>
      <c r="S43" s="23">
        <v>3.2601940124374403E-2</v>
      </c>
    </row>
    <row r="44" spans="3:34" s="46" customFormat="1" ht="15.9" customHeight="1" x14ac:dyDescent="0.3">
      <c r="C44" s="128" t="s">
        <v>59</v>
      </c>
      <c r="D44" s="130">
        <f>7545000+171100</f>
        <v>7716100</v>
      </c>
      <c r="E44" s="13"/>
      <c r="F44" s="6" t="s">
        <v>17</v>
      </c>
      <c r="G44" s="140">
        <v>1</v>
      </c>
      <c r="H44" s="140">
        <v>1</v>
      </c>
      <c r="I44" s="140">
        <f>H44-G44</f>
        <v>0</v>
      </c>
      <c r="J44" s="24">
        <v>0.6</v>
      </c>
      <c r="L44" s="128" t="s">
        <v>59</v>
      </c>
      <c r="M44" s="130">
        <v>53192052.210000001</v>
      </c>
      <c r="N44" s="14"/>
      <c r="O44" s="6" t="s">
        <v>17</v>
      </c>
      <c r="P44" s="28">
        <v>0.43107340844062947</v>
      </c>
      <c r="Q44" s="28">
        <v>0.33743517525035766</v>
      </c>
      <c r="R44" s="28">
        <f>Q44-P44</f>
        <v>-9.3638233190271813E-2</v>
      </c>
      <c r="S44" s="24">
        <v>0.3653670716770191</v>
      </c>
      <c r="X44" s="43"/>
      <c r="AG44" s="73"/>
      <c r="AH44" s="73"/>
    </row>
    <row r="45" spans="3:34" ht="15.9" customHeight="1" x14ac:dyDescent="0.3">
      <c r="C45" s="121" t="s">
        <v>11</v>
      </c>
      <c r="D45" s="33">
        <v>44013</v>
      </c>
      <c r="E45" s="13"/>
      <c r="F45" s="6" t="s">
        <v>18</v>
      </c>
      <c r="G45" s="140">
        <v>1</v>
      </c>
      <c r="H45" s="140">
        <v>0.99985000000000002</v>
      </c>
      <c r="I45" s="140">
        <f>H45-G45</f>
        <v>-1.4999999999998348E-4</v>
      </c>
      <c r="J45" s="24">
        <v>0.4</v>
      </c>
      <c r="L45" s="22" t="s">
        <v>11</v>
      </c>
      <c r="M45" s="33">
        <v>44237</v>
      </c>
      <c r="N45" s="14"/>
      <c r="O45" s="6" t="s">
        <v>18</v>
      </c>
      <c r="P45" s="28">
        <v>0.20662224039903448</v>
      </c>
      <c r="Q45" s="28">
        <v>0.20958933769576829</v>
      </c>
      <c r="R45" s="28">
        <f>Q45-P45</f>
        <v>2.9670972967338061E-3</v>
      </c>
      <c r="S45" s="24">
        <v>0.60203098819860656</v>
      </c>
    </row>
    <row r="46" spans="3:34" ht="15.9" customHeight="1" x14ac:dyDescent="0.3">
      <c r="C46" s="121" t="s">
        <v>12</v>
      </c>
      <c r="D46" s="7">
        <v>0</v>
      </c>
      <c r="E46" s="13"/>
      <c r="F46" s="6" t="s">
        <v>19</v>
      </c>
      <c r="G46" s="140">
        <v>0</v>
      </c>
      <c r="H46" s="140">
        <v>0</v>
      </c>
      <c r="I46" s="140">
        <f>H46-G46</f>
        <v>0</v>
      </c>
      <c r="J46" s="24">
        <v>0</v>
      </c>
      <c r="L46" s="22" t="s">
        <v>12</v>
      </c>
      <c r="M46" s="7">
        <v>0</v>
      </c>
      <c r="N46" s="14"/>
      <c r="O46" s="6" t="s">
        <v>19</v>
      </c>
      <c r="P46" s="28">
        <v>0</v>
      </c>
      <c r="Q46" s="28">
        <v>0</v>
      </c>
      <c r="R46" s="28">
        <f>Q46-P46</f>
        <v>0</v>
      </c>
      <c r="S46" s="24">
        <v>0</v>
      </c>
      <c r="AE46" s="46" t="s">
        <v>108</v>
      </c>
      <c r="AF46" s="46"/>
    </row>
    <row r="47" spans="3:34" ht="15.9" customHeight="1" thickBot="1" x14ac:dyDescent="0.35">
      <c r="C47" s="121" t="s">
        <v>13</v>
      </c>
      <c r="D47" s="33">
        <v>44150</v>
      </c>
      <c r="E47" s="14"/>
      <c r="F47" s="20" t="s">
        <v>20</v>
      </c>
      <c r="G47" s="146">
        <f>(G43*J43)+(G44*J44)+(G45*J45)</f>
        <v>1</v>
      </c>
      <c r="H47" s="146">
        <f>(H43*J43)+(H44*J44)+(H45*J45)</f>
        <v>0.99994000000000005</v>
      </c>
      <c r="I47" s="146">
        <f>H47-G47</f>
        <v>-5.9999999999948983E-5</v>
      </c>
      <c r="J47" s="25">
        <f>SUM(J43:J46)</f>
        <v>1</v>
      </c>
      <c r="L47" s="22" t="s">
        <v>13</v>
      </c>
      <c r="M47" s="33">
        <v>44237</v>
      </c>
      <c r="N47" s="14"/>
      <c r="O47" s="20" t="s">
        <v>20</v>
      </c>
      <c r="P47" s="51">
        <v>0.32504822906455755</v>
      </c>
      <c r="Q47" s="51">
        <v>0.28242313562773874</v>
      </c>
      <c r="R47" s="51">
        <f>Q47-P47</f>
        <v>-4.2625093436818806E-2</v>
      </c>
      <c r="S47" s="25">
        <f>SUM(S43:S46)</f>
        <v>1</v>
      </c>
      <c r="W47" s="46" t="s">
        <v>75</v>
      </c>
      <c r="X47" s="46"/>
      <c r="Y47" s="46"/>
      <c r="Z47" s="46" t="s">
        <v>98</v>
      </c>
      <c r="AA47" s="46"/>
      <c r="AB47" s="46"/>
      <c r="AC47" s="46"/>
      <c r="AD47" s="46" t="s">
        <v>99</v>
      </c>
      <c r="AE47" s="1" t="s">
        <v>109</v>
      </c>
      <c r="AF47" s="46"/>
    </row>
    <row r="48" spans="3:34" ht="15.9" customHeight="1" x14ac:dyDescent="0.3">
      <c r="C48" s="22" t="s">
        <v>121</v>
      </c>
      <c r="D48" s="33">
        <v>44150</v>
      </c>
      <c r="E48" s="15"/>
      <c r="F48" s="158" t="s">
        <v>64</v>
      </c>
      <c r="G48" s="159"/>
      <c r="H48" s="159"/>
      <c r="I48" s="160"/>
      <c r="J48" s="161"/>
      <c r="L48" s="22" t="s">
        <v>121</v>
      </c>
      <c r="M48" s="33">
        <v>44362</v>
      </c>
      <c r="N48" s="14"/>
      <c r="O48" s="158" t="s">
        <v>64</v>
      </c>
      <c r="P48" s="159"/>
      <c r="Q48" s="159"/>
      <c r="R48" s="160"/>
      <c r="S48" s="161"/>
      <c r="W48" s="127" t="s">
        <v>64</v>
      </c>
      <c r="X48" s="124"/>
      <c r="Y48" s="124"/>
      <c r="Z48" s="125"/>
      <c r="AA48" s="123" t="s">
        <v>64</v>
      </c>
      <c r="AB48" s="124"/>
      <c r="AC48" s="124"/>
      <c r="AD48" s="125"/>
      <c r="AE48" s="1" t="s">
        <v>102</v>
      </c>
      <c r="AF48" s="46"/>
    </row>
    <row r="49" spans="3:34" ht="15.9" customHeight="1" thickBot="1" x14ac:dyDescent="0.35">
      <c r="C49" s="22" t="s">
        <v>14</v>
      </c>
      <c r="D49" s="33">
        <v>44231</v>
      </c>
      <c r="E49" s="14"/>
      <c r="F49" s="49" t="s">
        <v>60</v>
      </c>
      <c r="G49" s="50" t="s">
        <v>62</v>
      </c>
      <c r="H49" s="50" t="s">
        <v>61</v>
      </c>
      <c r="I49" s="50" t="s">
        <v>63</v>
      </c>
      <c r="J49" s="12"/>
      <c r="L49" s="22" t="s">
        <v>14</v>
      </c>
      <c r="M49" s="33">
        <v>44368</v>
      </c>
      <c r="N49" s="14"/>
      <c r="O49" s="49" t="s">
        <v>60</v>
      </c>
      <c r="P49" s="50" t="s">
        <v>62</v>
      </c>
      <c r="Q49" s="50" t="s">
        <v>61</v>
      </c>
      <c r="R49" s="50" t="s">
        <v>63</v>
      </c>
      <c r="S49" s="12"/>
      <c r="W49" s="49" t="s">
        <v>60</v>
      </c>
      <c r="X49" s="50" t="s">
        <v>62</v>
      </c>
      <c r="Y49" s="50" t="s">
        <v>61</v>
      </c>
      <c r="Z49" s="12" t="s">
        <v>63</v>
      </c>
      <c r="AA49" s="49" t="s">
        <v>60</v>
      </c>
      <c r="AB49" s="50" t="s">
        <v>62</v>
      </c>
      <c r="AC49" s="50" t="s">
        <v>61</v>
      </c>
      <c r="AD49" s="12" t="s">
        <v>63</v>
      </c>
    </row>
    <row r="50" spans="3:34" s="46" customFormat="1" ht="15.9" customHeight="1" x14ac:dyDescent="0.3">
      <c r="C50" s="122" t="s">
        <v>67</v>
      </c>
      <c r="D50" s="7">
        <f>D49-D47</f>
        <v>81</v>
      </c>
      <c r="E50" s="14"/>
      <c r="F50" s="47" t="s">
        <v>65</v>
      </c>
      <c r="G50" s="126">
        <v>2</v>
      </c>
      <c r="H50" s="126">
        <v>5</v>
      </c>
      <c r="I50" s="126">
        <f>G50+H50</f>
        <v>7</v>
      </c>
      <c r="J50" s="34"/>
      <c r="L50" s="29" t="s">
        <v>67</v>
      </c>
      <c r="M50" s="7">
        <f>M49-M47</f>
        <v>131</v>
      </c>
      <c r="N50" s="14"/>
      <c r="O50" s="47" t="s">
        <v>65</v>
      </c>
      <c r="P50" s="126">
        <v>35</v>
      </c>
      <c r="Q50" s="126">
        <v>266</v>
      </c>
      <c r="R50" s="126">
        <f>P50+Q50</f>
        <v>301</v>
      </c>
      <c r="S50" s="34"/>
      <c r="W50" s="47" t="s">
        <v>65</v>
      </c>
      <c r="X50" s="30">
        <v>2</v>
      </c>
      <c r="Y50" s="30">
        <v>5</v>
      </c>
      <c r="Z50" s="34">
        <v>7</v>
      </c>
      <c r="AA50" s="47" t="s">
        <v>65</v>
      </c>
      <c r="AB50" s="30">
        <v>32</v>
      </c>
      <c r="AC50" s="30">
        <v>282</v>
      </c>
      <c r="AD50" s="34">
        <v>314</v>
      </c>
      <c r="AG50" s="73"/>
      <c r="AH50" s="73"/>
    </row>
    <row r="51" spans="3:34" ht="15.9" customHeight="1" thickBot="1" x14ac:dyDescent="0.35">
      <c r="C51" s="131" t="s">
        <v>159</v>
      </c>
      <c r="D51" s="132">
        <v>7303519.3600000003</v>
      </c>
      <c r="E51" s="14"/>
      <c r="F51" s="48" t="s">
        <v>66</v>
      </c>
      <c r="G51" s="32">
        <f>(G50*6)+X51</f>
        <v>894</v>
      </c>
      <c r="H51" s="32">
        <f>(H50*6)+Y51</f>
        <v>15672</v>
      </c>
      <c r="I51" s="32">
        <f>G51+H51</f>
        <v>16566</v>
      </c>
      <c r="J51" s="35"/>
      <c r="L51" s="131" t="s">
        <v>159</v>
      </c>
      <c r="M51" s="132">
        <v>3985797.1</v>
      </c>
      <c r="N51" s="14"/>
      <c r="O51" s="48" t="s">
        <v>66</v>
      </c>
      <c r="P51" s="32">
        <f>(P50*6)+AB51</f>
        <v>5622</v>
      </c>
      <c r="Q51" s="32">
        <f>(Q50*6)+AC51</f>
        <v>23202</v>
      </c>
      <c r="R51" s="32">
        <f>P51+Q51</f>
        <v>28824</v>
      </c>
      <c r="S51" s="35"/>
      <c r="W51" s="48" t="s">
        <v>66</v>
      </c>
      <c r="X51" s="32">
        <v>882</v>
      </c>
      <c r="Y51" s="32">
        <v>15642</v>
      </c>
      <c r="Z51" s="35">
        <v>16524</v>
      </c>
      <c r="AA51" s="48" t="s">
        <v>66</v>
      </c>
      <c r="AB51" s="32">
        <v>5412</v>
      </c>
      <c r="AC51" s="32">
        <v>21606</v>
      </c>
      <c r="AD51" s="35">
        <v>27018</v>
      </c>
    </row>
    <row r="52" spans="3:34" ht="9.9" customHeight="1" thickBot="1" x14ac:dyDescent="0.35">
      <c r="C52" s="16"/>
      <c r="D52" s="14"/>
      <c r="E52" s="14"/>
      <c r="F52" s="3"/>
      <c r="G52" s="3"/>
      <c r="H52" s="3"/>
      <c r="I52" s="3"/>
      <c r="J52" s="17"/>
      <c r="L52" s="16"/>
      <c r="M52" s="14"/>
      <c r="N52" s="14"/>
      <c r="O52" s="3"/>
      <c r="P52" s="3"/>
      <c r="Q52" s="3"/>
      <c r="R52" s="3"/>
      <c r="S52" s="17"/>
    </row>
    <row r="53" spans="3:34" ht="30" customHeight="1" thickBot="1" x14ac:dyDescent="0.35">
      <c r="C53" s="174" t="s">
        <v>37</v>
      </c>
      <c r="D53" s="175"/>
      <c r="E53" s="2"/>
      <c r="F53" s="164" t="s">
        <v>29</v>
      </c>
      <c r="G53" s="165"/>
      <c r="H53" s="165"/>
      <c r="I53" s="165"/>
      <c r="J53" s="166"/>
      <c r="L53" s="174" t="s">
        <v>37</v>
      </c>
      <c r="M53" s="175"/>
      <c r="N53" s="14"/>
      <c r="O53" s="164" t="s">
        <v>29</v>
      </c>
      <c r="P53" s="165"/>
      <c r="Q53" s="165"/>
      <c r="R53" s="165"/>
      <c r="S53" s="166"/>
    </row>
    <row r="54" spans="3:34" ht="15.9" customHeight="1" x14ac:dyDescent="0.3">
      <c r="C54" s="172" t="s">
        <v>147</v>
      </c>
      <c r="D54" s="173"/>
      <c r="E54" s="18"/>
      <c r="F54" s="187" t="s">
        <v>30</v>
      </c>
      <c r="G54" s="188"/>
      <c r="H54" s="167">
        <f>'Orig Contractual Dates'!C12</f>
        <v>401</v>
      </c>
      <c r="I54" s="168"/>
      <c r="J54" s="169"/>
      <c r="L54" s="172" t="s">
        <v>160</v>
      </c>
      <c r="M54" s="173"/>
      <c r="N54" s="14"/>
      <c r="O54" s="187" t="s">
        <v>30</v>
      </c>
      <c r="P54" s="188"/>
      <c r="Q54" s="167">
        <f>'Orig Contractual Dates'!F12</f>
        <v>402</v>
      </c>
      <c r="R54" s="168"/>
      <c r="S54" s="169"/>
      <c r="W54" s="72"/>
    </row>
    <row r="55" spans="3:34" ht="15.9" customHeight="1" x14ac:dyDescent="0.3">
      <c r="C55" s="170" t="s">
        <v>135</v>
      </c>
      <c r="D55" s="171"/>
      <c r="E55" s="18"/>
      <c r="F55" s="185" t="s">
        <v>31</v>
      </c>
      <c r="G55" s="186"/>
      <c r="H55" s="176">
        <f>T2-'Orig Contractual Dates'!C8+1</f>
        <v>415</v>
      </c>
      <c r="I55" s="177"/>
      <c r="J55" s="178"/>
      <c r="L55" s="170" t="s">
        <v>95</v>
      </c>
      <c r="M55" s="171"/>
      <c r="N55" s="14"/>
      <c r="O55" s="185" t="s">
        <v>31</v>
      </c>
      <c r="P55" s="186"/>
      <c r="Q55" s="176">
        <f>T2-'Orig Contractual Dates'!F8</f>
        <v>284</v>
      </c>
      <c r="R55" s="177"/>
      <c r="S55" s="178"/>
      <c r="Y55" s="46"/>
    </row>
    <row r="56" spans="3:34" ht="15.9" customHeight="1" x14ac:dyDescent="0.3">
      <c r="C56" s="170" t="s">
        <v>136</v>
      </c>
      <c r="D56" s="171"/>
      <c r="E56" s="18"/>
      <c r="F56" s="185" t="s">
        <v>32</v>
      </c>
      <c r="G56" s="186"/>
      <c r="H56" s="176">
        <f>H54-H55</f>
        <v>-14</v>
      </c>
      <c r="I56" s="177"/>
      <c r="J56" s="178"/>
      <c r="L56" s="170" t="s">
        <v>57</v>
      </c>
      <c r="M56" s="171"/>
      <c r="N56" s="14"/>
      <c r="O56" s="185" t="s">
        <v>32</v>
      </c>
      <c r="P56" s="186"/>
      <c r="Q56" s="176">
        <f>Q54-Q55</f>
        <v>118</v>
      </c>
      <c r="R56" s="177"/>
      <c r="S56" s="178"/>
    </row>
    <row r="57" spans="3:34" ht="15.9" customHeight="1" x14ac:dyDescent="0.3">
      <c r="C57" s="170" t="s">
        <v>154</v>
      </c>
      <c r="D57" s="171"/>
      <c r="E57" s="18"/>
      <c r="F57" s="185" t="s">
        <v>36</v>
      </c>
      <c r="G57" s="186"/>
      <c r="H57" s="208" t="str">
        <f>IF(H55&gt;H54,"100%",H55/H54)</f>
        <v>100%</v>
      </c>
      <c r="I57" s="209"/>
      <c r="J57" s="210"/>
      <c r="L57" s="170" t="s">
        <v>144</v>
      </c>
      <c r="M57" s="171"/>
      <c r="N57" s="14"/>
      <c r="O57" s="185" t="s">
        <v>36</v>
      </c>
      <c r="P57" s="186"/>
      <c r="Q57" s="179">
        <f>IF(Q55&gt;Q54,"100%",Q55/Q54)</f>
        <v>0.70646766169154229</v>
      </c>
      <c r="R57" s="180"/>
      <c r="S57" s="181"/>
      <c r="W57" s="46"/>
      <c r="Y57" s="46"/>
    </row>
    <row r="58" spans="3:34" ht="15.9" customHeight="1" x14ac:dyDescent="0.3">
      <c r="C58" s="170" t="s">
        <v>38</v>
      </c>
      <c r="D58" s="171"/>
      <c r="E58" s="18"/>
      <c r="F58" s="185" t="s">
        <v>33</v>
      </c>
      <c r="G58" s="186"/>
      <c r="H58" s="182">
        <v>7150241.8499999996</v>
      </c>
      <c r="I58" s="183"/>
      <c r="J58" s="184"/>
      <c r="L58" s="170" t="s">
        <v>145</v>
      </c>
      <c r="M58" s="171"/>
      <c r="N58" s="14"/>
      <c r="O58" s="185" t="s">
        <v>33</v>
      </c>
      <c r="P58" s="186"/>
      <c r="Q58" s="182">
        <v>3818011.54</v>
      </c>
      <c r="R58" s="183"/>
      <c r="S58" s="184"/>
      <c r="W58" s="46"/>
      <c r="Y58" s="46"/>
    </row>
    <row r="59" spans="3:34" ht="15.9" customHeight="1" x14ac:dyDescent="0.3">
      <c r="C59" s="170" t="s">
        <v>39</v>
      </c>
      <c r="D59" s="171"/>
      <c r="E59" s="18"/>
      <c r="F59" s="185" t="s">
        <v>34</v>
      </c>
      <c r="G59" s="186"/>
      <c r="H59" s="182">
        <f>D41-H58</f>
        <v>1204096.1500000004</v>
      </c>
      <c r="I59" s="183"/>
      <c r="J59" s="184"/>
      <c r="L59" s="206" t="s">
        <v>166</v>
      </c>
      <c r="M59" s="207"/>
      <c r="N59" s="14"/>
      <c r="O59" s="185" t="s">
        <v>34</v>
      </c>
      <c r="P59" s="186"/>
      <c r="Q59" s="182">
        <f>M41-Q58</f>
        <v>54394988.460000001</v>
      </c>
      <c r="R59" s="183"/>
      <c r="S59" s="184"/>
      <c r="W59" s="46"/>
      <c r="Y59" s="46"/>
    </row>
    <row r="60" spans="3:34" ht="15.9" customHeight="1" thickBot="1" x14ac:dyDescent="0.35">
      <c r="C60" s="192" t="s">
        <v>40</v>
      </c>
      <c r="D60" s="193"/>
      <c r="E60" s="19"/>
      <c r="F60" s="194" t="s">
        <v>35</v>
      </c>
      <c r="G60" s="195"/>
      <c r="H60" s="196">
        <f>H58/D41</f>
        <v>0.85587174591212367</v>
      </c>
      <c r="I60" s="197"/>
      <c r="J60" s="198"/>
      <c r="L60" s="204"/>
      <c r="M60" s="205"/>
      <c r="N60" s="14"/>
      <c r="O60" s="194" t="s">
        <v>35</v>
      </c>
      <c r="P60" s="195"/>
      <c r="Q60" s="196">
        <f>Q58/M41</f>
        <v>6.558692285228386E-2</v>
      </c>
      <c r="R60" s="197"/>
      <c r="S60" s="198"/>
      <c r="W60" s="46"/>
      <c r="Y60" s="46"/>
    </row>
    <row r="61" spans="3:34" ht="13.8" customHeight="1" thickTop="1" x14ac:dyDescent="0.3">
      <c r="N61" s="14"/>
      <c r="W61" s="46"/>
      <c r="Y61" s="46"/>
    </row>
    <row r="62" spans="3:34" x14ac:dyDescent="0.3">
      <c r="N62" s="14"/>
    </row>
    <row r="63" spans="3:34" x14ac:dyDescent="0.3">
      <c r="H63" s="156"/>
      <c r="I63" s="156"/>
      <c r="K63" s="46"/>
      <c r="N63" s="14"/>
    </row>
    <row r="64" spans="3:34" x14ac:dyDescent="0.3">
      <c r="H64" s="156"/>
      <c r="I64" s="156"/>
      <c r="N64" s="14"/>
    </row>
  </sheetData>
  <mergeCells count="114">
    <mergeCell ref="C2:O2"/>
    <mergeCell ref="P2:S2"/>
    <mergeCell ref="C60:D60"/>
    <mergeCell ref="F60:G60"/>
    <mergeCell ref="H60:J60"/>
    <mergeCell ref="L60:M60"/>
    <mergeCell ref="O60:P60"/>
    <mergeCell ref="Q60:S60"/>
    <mergeCell ref="C59:D59"/>
    <mergeCell ref="F59:G59"/>
    <mergeCell ref="H59:J59"/>
    <mergeCell ref="L59:M59"/>
    <mergeCell ref="O59:P59"/>
    <mergeCell ref="Q59:S59"/>
    <mergeCell ref="C58:D58"/>
    <mergeCell ref="F58:G58"/>
    <mergeCell ref="H58:J58"/>
    <mergeCell ref="L58:M58"/>
    <mergeCell ref="O58:P58"/>
    <mergeCell ref="Q58:S58"/>
    <mergeCell ref="C57:D57"/>
    <mergeCell ref="F57:G57"/>
    <mergeCell ref="H57:J57"/>
    <mergeCell ref="L57:M57"/>
    <mergeCell ref="O57:P57"/>
    <mergeCell ref="Q57:S57"/>
    <mergeCell ref="C56:D56"/>
    <mergeCell ref="F56:G56"/>
    <mergeCell ref="H56:J56"/>
    <mergeCell ref="O56:P56"/>
    <mergeCell ref="Q56:S56"/>
    <mergeCell ref="H31:J31"/>
    <mergeCell ref="C55:D55"/>
    <mergeCell ref="F55:G55"/>
    <mergeCell ref="H55:J55"/>
    <mergeCell ref="O55:P55"/>
    <mergeCell ref="Q55:S55"/>
    <mergeCell ref="L56:M56"/>
    <mergeCell ref="L55:M55"/>
    <mergeCell ref="C54:D54"/>
    <mergeCell ref="F54:G54"/>
    <mergeCell ref="H54:J54"/>
    <mergeCell ref="O54:P54"/>
    <mergeCell ref="Q54:S54"/>
    <mergeCell ref="F41:J41"/>
    <mergeCell ref="O41:S41"/>
    <mergeCell ref="C53:D53"/>
    <mergeCell ref="F53:J53"/>
    <mergeCell ref="L53:M53"/>
    <mergeCell ref="O53:S53"/>
    <mergeCell ref="L54:M54"/>
    <mergeCell ref="O27:P27"/>
    <mergeCell ref="Q27:S27"/>
    <mergeCell ref="C33:D33"/>
    <mergeCell ref="F33:J33"/>
    <mergeCell ref="L33:M33"/>
    <mergeCell ref="O33:S33"/>
    <mergeCell ref="F34:J34"/>
    <mergeCell ref="O34:S34"/>
    <mergeCell ref="O30:P30"/>
    <mergeCell ref="Q30:S30"/>
    <mergeCell ref="L31:M31"/>
    <mergeCell ref="O31:P31"/>
    <mergeCell ref="Q31:S31"/>
    <mergeCell ref="C31:D31"/>
    <mergeCell ref="F31:G31"/>
    <mergeCell ref="O4:S4"/>
    <mergeCell ref="O5:S5"/>
    <mergeCell ref="O12:S12"/>
    <mergeCell ref="L24:M24"/>
    <mergeCell ref="O24:S24"/>
    <mergeCell ref="O25:P25"/>
    <mergeCell ref="F30:G30"/>
    <mergeCell ref="H30:J30"/>
    <mergeCell ref="F5:J5"/>
    <mergeCell ref="F12:J12"/>
    <mergeCell ref="F4:J4"/>
    <mergeCell ref="L30:M30"/>
    <mergeCell ref="L25:M25"/>
    <mergeCell ref="L28:M28"/>
    <mergeCell ref="L29:M29"/>
    <mergeCell ref="L26:M26"/>
    <mergeCell ref="L27:M27"/>
    <mergeCell ref="O28:P28"/>
    <mergeCell ref="Q28:S28"/>
    <mergeCell ref="O29:P29"/>
    <mergeCell ref="Q29:S29"/>
    <mergeCell ref="Q25:S25"/>
    <mergeCell ref="O26:P26"/>
    <mergeCell ref="Q26:S26"/>
    <mergeCell ref="O19:S19"/>
    <mergeCell ref="F48:J48"/>
    <mergeCell ref="O48:S48"/>
    <mergeCell ref="C4:D4"/>
    <mergeCell ref="F24:J24"/>
    <mergeCell ref="H25:J25"/>
    <mergeCell ref="C30:D30"/>
    <mergeCell ref="C25:D25"/>
    <mergeCell ref="C26:D26"/>
    <mergeCell ref="C27:D27"/>
    <mergeCell ref="C28:D28"/>
    <mergeCell ref="C29:D29"/>
    <mergeCell ref="C24:D24"/>
    <mergeCell ref="H26:J26"/>
    <mergeCell ref="H27:J27"/>
    <mergeCell ref="H28:J28"/>
    <mergeCell ref="H29:J29"/>
    <mergeCell ref="F29:G29"/>
    <mergeCell ref="F25:G25"/>
    <mergeCell ref="F26:G26"/>
    <mergeCell ref="F27:G27"/>
    <mergeCell ref="F28:G28"/>
    <mergeCell ref="F19:J19"/>
    <mergeCell ref="L4:M4"/>
  </mergeCells>
  <conditionalFormatting sqref="H27:J27">
    <cfRule type="cellIs" dxfId="7" priority="5" operator="lessThan">
      <formula>0</formula>
    </cfRule>
  </conditionalFormatting>
  <conditionalFormatting sqref="H56:J56">
    <cfRule type="cellIs" dxfId="6" priority="4" operator="lessThan">
      <formula>0</formula>
    </cfRule>
  </conditionalFormatting>
  <conditionalFormatting sqref="Q27:S27">
    <cfRule type="cellIs" dxfId="5" priority="2" operator="lessThan">
      <formula>0</formula>
    </cfRule>
  </conditionalFormatting>
  <conditionalFormatting sqref="Q56:S56">
    <cfRule type="cellIs" dxfId="4" priority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8" scale="73" orientation="landscape" r:id="rId1"/>
  <headerFooter>
    <oddFooter>&amp;L&amp;"Arial,Regular"&amp;F&amp;C&amp;"Arial,Regular"Page &amp;P / &amp;N&amp;R&amp;"Arial,Regular"Print Date: 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H77"/>
  <sheetViews>
    <sheetView zoomScale="70" zoomScaleNormal="70" workbookViewId="0">
      <selection activeCell="Z56" sqref="Z56"/>
    </sheetView>
  </sheetViews>
  <sheetFormatPr defaultColWidth="9.109375" defaultRowHeight="13.8" x14ac:dyDescent="0.3"/>
  <cols>
    <col min="1" max="1" width="4" style="1" customWidth="1"/>
    <col min="2" max="2" width="4.33203125" style="1" customWidth="1"/>
    <col min="3" max="3" width="35.6640625" style="1" customWidth="1"/>
    <col min="4" max="4" width="31.44140625" style="1" customWidth="1"/>
    <col min="5" max="5" width="1.6640625" style="1" customWidth="1"/>
    <col min="6" max="6" width="16.33203125" style="1" customWidth="1"/>
    <col min="7" max="9" width="11.44140625" style="1" customWidth="1"/>
    <col min="10" max="10" width="2.6640625" style="1" customWidth="1"/>
    <col min="11" max="11" width="35.6640625" style="1" customWidth="1"/>
    <col min="12" max="12" width="31.44140625" style="1" customWidth="1"/>
    <col min="13" max="13" width="1.6640625" style="1" customWidth="1"/>
    <col min="14" max="14" width="16.33203125" style="1" customWidth="1"/>
    <col min="15" max="16" width="11.44140625" style="1" customWidth="1"/>
    <col min="17" max="17" width="12.21875" style="1" customWidth="1"/>
    <col min="18" max="18" width="2.6640625" style="1" customWidth="1"/>
    <col min="19" max="19" width="4.6640625" style="1" customWidth="1"/>
    <col min="20" max="22" width="9.109375" style="1"/>
    <col min="23" max="23" width="12.109375" style="1" customWidth="1"/>
    <col min="24" max="26" width="9.109375" style="1"/>
    <col min="27" max="27" width="3.109375" style="1" customWidth="1"/>
    <col min="28" max="30" width="9.109375" style="1"/>
    <col min="31" max="31" width="2.44140625" style="1" customWidth="1"/>
    <col min="32" max="16384" width="9.109375" style="1"/>
  </cols>
  <sheetData>
    <row r="1" spans="3:19" ht="14.4" thickBot="1" x14ac:dyDescent="0.35"/>
    <row r="2" spans="3:19" ht="54.9" customHeight="1" thickTop="1" thickBot="1" x14ac:dyDescent="0.35">
      <c r="C2" s="199" t="s">
        <v>164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11" t="str">
        <f>'ELM-30-A'!P2</f>
        <v>Issue Date: 21 Feb 2021
Cut-off Date:18 Feb 2021
Rev: 00</v>
      </c>
      <c r="P2" s="212"/>
      <c r="Q2" s="213"/>
      <c r="S2" s="21"/>
    </row>
    <row r="3" spans="3:19" ht="15" thickTop="1" thickBot="1" x14ac:dyDescent="0.35"/>
    <row r="4" spans="3:19" ht="20.100000000000001" customHeight="1" thickTop="1" x14ac:dyDescent="0.3">
      <c r="C4" s="214" t="s">
        <v>68</v>
      </c>
      <c r="D4" s="215"/>
      <c r="E4" s="215"/>
      <c r="F4" s="215"/>
      <c r="G4" s="215"/>
      <c r="H4" s="215"/>
      <c r="I4" s="216"/>
      <c r="K4" s="214" t="s">
        <v>69</v>
      </c>
      <c r="L4" s="215"/>
      <c r="M4" s="215"/>
      <c r="N4" s="215"/>
      <c r="O4" s="215"/>
      <c r="P4" s="215"/>
      <c r="Q4" s="216"/>
    </row>
    <row r="5" spans="3:19" ht="15.9" customHeight="1" x14ac:dyDescent="0.3">
      <c r="C5" s="217" t="s">
        <v>152</v>
      </c>
      <c r="D5" s="218"/>
      <c r="E5" s="218"/>
      <c r="F5" s="218"/>
      <c r="G5" s="218"/>
      <c r="H5" s="218"/>
      <c r="I5" s="219"/>
      <c r="K5" s="217"/>
      <c r="L5" s="218"/>
      <c r="M5" s="218"/>
      <c r="N5" s="218"/>
      <c r="O5" s="218"/>
      <c r="P5" s="218"/>
      <c r="Q5" s="219"/>
    </row>
    <row r="6" spans="3:19" ht="15.9" customHeight="1" x14ac:dyDescent="0.3">
      <c r="C6" s="220"/>
      <c r="D6" s="218"/>
      <c r="E6" s="218"/>
      <c r="F6" s="218"/>
      <c r="G6" s="218"/>
      <c r="H6" s="218"/>
      <c r="I6" s="219"/>
      <c r="K6" s="220"/>
      <c r="L6" s="218"/>
      <c r="M6" s="218"/>
      <c r="N6" s="218"/>
      <c r="O6" s="218"/>
      <c r="P6" s="218"/>
      <c r="Q6" s="219"/>
    </row>
    <row r="7" spans="3:19" s="46" customFormat="1" ht="15.9" customHeight="1" x14ac:dyDescent="0.3">
      <c r="C7" s="220"/>
      <c r="D7" s="218"/>
      <c r="E7" s="218"/>
      <c r="F7" s="218"/>
      <c r="G7" s="218"/>
      <c r="H7" s="218"/>
      <c r="I7" s="219"/>
      <c r="K7" s="220"/>
      <c r="L7" s="218"/>
      <c r="M7" s="218"/>
      <c r="N7" s="218"/>
      <c r="O7" s="218"/>
      <c r="P7" s="218"/>
      <c r="Q7" s="219"/>
    </row>
    <row r="8" spans="3:19" ht="15.9" customHeight="1" x14ac:dyDescent="0.3">
      <c r="C8" s="220"/>
      <c r="D8" s="218"/>
      <c r="E8" s="218"/>
      <c r="F8" s="218"/>
      <c r="G8" s="218"/>
      <c r="H8" s="218"/>
      <c r="I8" s="219"/>
      <c r="K8" s="220"/>
      <c r="L8" s="218"/>
      <c r="M8" s="218"/>
      <c r="N8" s="218"/>
      <c r="O8" s="218"/>
      <c r="P8" s="218"/>
      <c r="Q8" s="219"/>
    </row>
    <row r="9" spans="3:19" ht="15.9" customHeight="1" x14ac:dyDescent="0.3">
      <c r="C9" s="220"/>
      <c r="D9" s="218"/>
      <c r="E9" s="218"/>
      <c r="F9" s="218"/>
      <c r="G9" s="218"/>
      <c r="H9" s="218"/>
      <c r="I9" s="219"/>
      <c r="K9" s="220"/>
      <c r="L9" s="218"/>
      <c r="M9" s="218"/>
      <c r="N9" s="218"/>
      <c r="O9" s="218"/>
      <c r="P9" s="218"/>
      <c r="Q9" s="219"/>
    </row>
    <row r="10" spans="3:19" ht="15.9" customHeight="1" x14ac:dyDescent="0.3">
      <c r="C10" s="220"/>
      <c r="D10" s="218"/>
      <c r="E10" s="218"/>
      <c r="F10" s="218"/>
      <c r="G10" s="218"/>
      <c r="H10" s="218"/>
      <c r="I10" s="219"/>
      <c r="K10" s="220"/>
      <c r="L10" s="218"/>
      <c r="M10" s="218"/>
      <c r="N10" s="218"/>
      <c r="O10" s="218"/>
      <c r="P10" s="218"/>
      <c r="Q10" s="219"/>
    </row>
    <row r="11" spans="3:19" ht="15.9" customHeight="1" x14ac:dyDescent="0.3">
      <c r="C11" s="220"/>
      <c r="D11" s="218"/>
      <c r="E11" s="218"/>
      <c r="F11" s="218"/>
      <c r="G11" s="218"/>
      <c r="H11" s="218"/>
      <c r="I11" s="219"/>
      <c r="K11" s="220"/>
      <c r="L11" s="218"/>
      <c r="M11" s="218"/>
      <c r="N11" s="218"/>
      <c r="O11" s="218"/>
      <c r="P11" s="218"/>
      <c r="Q11" s="219"/>
    </row>
    <row r="12" spans="3:19" ht="15.9" customHeight="1" x14ac:dyDescent="0.3">
      <c r="C12" s="220"/>
      <c r="D12" s="218"/>
      <c r="E12" s="218"/>
      <c r="F12" s="218"/>
      <c r="G12" s="218"/>
      <c r="H12" s="218"/>
      <c r="I12" s="219"/>
      <c r="K12" s="220"/>
      <c r="L12" s="218"/>
      <c r="M12" s="218"/>
      <c r="N12" s="218"/>
      <c r="O12" s="218"/>
      <c r="P12" s="218"/>
      <c r="Q12" s="219"/>
    </row>
    <row r="13" spans="3:19" ht="15.9" customHeight="1" x14ac:dyDescent="0.3">
      <c r="C13" s="220"/>
      <c r="D13" s="218"/>
      <c r="E13" s="218"/>
      <c r="F13" s="218"/>
      <c r="G13" s="218"/>
      <c r="H13" s="218"/>
      <c r="I13" s="219"/>
      <c r="K13" s="220"/>
      <c r="L13" s="218"/>
      <c r="M13" s="218"/>
      <c r="N13" s="218"/>
      <c r="O13" s="218"/>
      <c r="P13" s="218"/>
      <c r="Q13" s="219"/>
    </row>
    <row r="14" spans="3:19" ht="15.9" customHeight="1" x14ac:dyDescent="0.3">
      <c r="C14" s="220"/>
      <c r="D14" s="218"/>
      <c r="E14" s="218"/>
      <c r="F14" s="218"/>
      <c r="G14" s="218"/>
      <c r="H14" s="218"/>
      <c r="I14" s="219"/>
      <c r="K14" s="220"/>
      <c r="L14" s="218"/>
      <c r="M14" s="218"/>
      <c r="N14" s="218"/>
      <c r="O14" s="218"/>
      <c r="P14" s="218"/>
      <c r="Q14" s="219"/>
    </row>
    <row r="15" spans="3:19" ht="15.9" customHeight="1" x14ac:dyDescent="0.3">
      <c r="C15" s="220"/>
      <c r="D15" s="218"/>
      <c r="E15" s="218"/>
      <c r="F15" s="218"/>
      <c r="G15" s="218"/>
      <c r="H15" s="218"/>
      <c r="I15" s="219"/>
      <c r="K15" s="220"/>
      <c r="L15" s="218"/>
      <c r="M15" s="218"/>
      <c r="N15" s="218"/>
      <c r="O15" s="218"/>
      <c r="P15" s="218"/>
      <c r="Q15" s="219"/>
    </row>
    <row r="16" spans="3:19" ht="15.9" customHeight="1" x14ac:dyDescent="0.3">
      <c r="C16" s="220"/>
      <c r="D16" s="218"/>
      <c r="E16" s="218"/>
      <c r="F16" s="218"/>
      <c r="G16" s="218"/>
      <c r="H16" s="218"/>
      <c r="I16" s="219"/>
      <c r="K16" s="220"/>
      <c r="L16" s="218"/>
      <c r="M16" s="218"/>
      <c r="N16" s="218"/>
      <c r="O16" s="218"/>
      <c r="P16" s="218"/>
      <c r="Q16" s="219"/>
    </row>
    <row r="17" spans="1:28" ht="15.9" customHeight="1" x14ac:dyDescent="0.3">
      <c r="C17" s="220"/>
      <c r="D17" s="218"/>
      <c r="E17" s="218"/>
      <c r="F17" s="218"/>
      <c r="G17" s="218"/>
      <c r="H17" s="218"/>
      <c r="I17" s="219"/>
      <c r="K17" s="220"/>
      <c r="L17" s="218"/>
      <c r="M17" s="218"/>
      <c r="N17" s="218"/>
      <c r="O17" s="218"/>
      <c r="P17" s="218"/>
      <c r="Q17" s="219"/>
      <c r="AB17"/>
    </row>
    <row r="18" spans="1:28" ht="15.9" customHeight="1" x14ac:dyDescent="0.3">
      <c r="C18" s="220"/>
      <c r="D18" s="218"/>
      <c r="E18" s="218"/>
      <c r="F18" s="218"/>
      <c r="G18" s="218"/>
      <c r="H18" s="218"/>
      <c r="I18" s="219"/>
      <c r="K18" s="220"/>
      <c r="L18" s="218"/>
      <c r="M18" s="218"/>
      <c r="N18" s="218"/>
      <c r="O18" s="218"/>
      <c r="P18" s="218"/>
      <c r="Q18" s="219"/>
    </row>
    <row r="19" spans="1:28" ht="15.9" customHeight="1" x14ac:dyDescent="0.3">
      <c r="C19" s="220"/>
      <c r="D19" s="218"/>
      <c r="E19" s="218"/>
      <c r="F19" s="218"/>
      <c r="G19" s="218"/>
      <c r="H19" s="218"/>
      <c r="I19" s="219"/>
      <c r="K19" s="220"/>
      <c r="L19" s="218"/>
      <c r="M19" s="218"/>
      <c r="N19" s="218"/>
      <c r="O19" s="218"/>
      <c r="P19" s="218"/>
      <c r="Q19" s="219"/>
    </row>
    <row r="20" spans="1:28" s="46" customFormat="1" ht="15.9" customHeight="1" x14ac:dyDescent="0.3">
      <c r="A20" s="46" t="s">
        <v>120</v>
      </c>
      <c r="C20" s="220"/>
      <c r="D20" s="218"/>
      <c r="E20" s="218"/>
      <c r="F20" s="218"/>
      <c r="G20" s="218"/>
      <c r="H20" s="218"/>
      <c r="I20" s="219"/>
      <c r="K20" s="220"/>
      <c r="L20" s="218"/>
      <c r="M20" s="218"/>
      <c r="N20" s="218"/>
      <c r="O20" s="218"/>
      <c r="P20" s="218"/>
      <c r="Q20" s="219"/>
    </row>
    <row r="21" spans="1:28" s="46" customFormat="1" ht="15.9" customHeight="1" x14ac:dyDescent="0.3">
      <c r="C21" s="220"/>
      <c r="D21" s="218"/>
      <c r="E21" s="218"/>
      <c r="F21" s="218"/>
      <c r="G21" s="218"/>
      <c r="H21" s="218"/>
      <c r="I21" s="219"/>
      <c r="K21" s="220"/>
      <c r="L21" s="218"/>
      <c r="M21" s="218"/>
      <c r="N21" s="218"/>
      <c r="O21" s="218"/>
      <c r="P21" s="218"/>
      <c r="Q21" s="219"/>
    </row>
    <row r="22" spans="1:28" s="46" customFormat="1" ht="15.9" customHeight="1" x14ac:dyDescent="0.3">
      <c r="C22" s="220"/>
      <c r="D22" s="218"/>
      <c r="E22" s="218"/>
      <c r="F22" s="218"/>
      <c r="G22" s="218"/>
      <c r="H22" s="218"/>
      <c r="I22" s="219"/>
      <c r="K22" s="220"/>
      <c r="L22" s="218"/>
      <c r="M22" s="218"/>
      <c r="N22" s="218"/>
      <c r="O22" s="218"/>
      <c r="P22" s="218"/>
      <c r="Q22" s="219"/>
    </row>
    <row r="23" spans="1:28" s="46" customFormat="1" ht="15.9" customHeight="1" x14ac:dyDescent="0.3">
      <c r="C23" s="220"/>
      <c r="D23" s="218"/>
      <c r="E23" s="218"/>
      <c r="F23" s="218"/>
      <c r="G23" s="218"/>
      <c r="H23" s="218"/>
      <c r="I23" s="219"/>
      <c r="K23" s="220"/>
      <c r="L23" s="218"/>
      <c r="M23" s="218"/>
      <c r="N23" s="218"/>
      <c r="O23" s="218"/>
      <c r="P23" s="218"/>
      <c r="Q23" s="219"/>
    </row>
    <row r="24" spans="1:28" ht="15.9" customHeight="1" x14ac:dyDescent="0.3">
      <c r="C24" s="220"/>
      <c r="D24" s="218"/>
      <c r="E24" s="218"/>
      <c r="F24" s="218"/>
      <c r="G24" s="218"/>
      <c r="H24" s="218"/>
      <c r="I24" s="219"/>
      <c r="K24" s="220"/>
      <c r="L24" s="218"/>
      <c r="M24" s="218"/>
      <c r="N24" s="218"/>
      <c r="O24" s="218"/>
      <c r="P24" s="218"/>
      <c r="Q24" s="219"/>
    </row>
    <row r="25" spans="1:28" ht="15.9" customHeight="1" x14ac:dyDescent="0.3">
      <c r="C25" s="220"/>
      <c r="D25" s="218"/>
      <c r="E25" s="218"/>
      <c r="F25" s="218"/>
      <c r="G25" s="218"/>
      <c r="H25" s="218"/>
      <c r="I25" s="219"/>
      <c r="K25" s="220"/>
      <c r="L25" s="218"/>
      <c r="M25" s="218"/>
      <c r="N25" s="218"/>
      <c r="O25" s="218"/>
      <c r="P25" s="218"/>
      <c r="Q25" s="219"/>
    </row>
    <row r="26" spans="1:28" ht="15.9" customHeight="1" x14ac:dyDescent="0.3">
      <c r="C26" s="220"/>
      <c r="D26" s="218"/>
      <c r="E26" s="218"/>
      <c r="F26" s="218"/>
      <c r="G26" s="218"/>
      <c r="H26" s="218"/>
      <c r="I26" s="219"/>
      <c r="K26" s="220"/>
      <c r="L26" s="218"/>
      <c r="M26" s="218"/>
      <c r="N26" s="218"/>
      <c r="O26" s="218"/>
      <c r="P26" s="218"/>
      <c r="Q26" s="219"/>
    </row>
    <row r="27" spans="1:28" ht="15.9" customHeight="1" x14ac:dyDescent="0.3">
      <c r="C27" s="220"/>
      <c r="D27" s="218"/>
      <c r="E27" s="218"/>
      <c r="F27" s="218"/>
      <c r="G27" s="218"/>
      <c r="H27" s="218"/>
      <c r="I27" s="219"/>
      <c r="K27" s="220"/>
      <c r="L27" s="218"/>
      <c r="M27" s="218"/>
      <c r="N27" s="218"/>
      <c r="O27" s="218"/>
      <c r="P27" s="218"/>
      <c r="Q27" s="219"/>
    </row>
    <row r="28" spans="1:28" ht="15.9" customHeight="1" x14ac:dyDescent="0.3">
      <c r="C28" s="220"/>
      <c r="D28" s="218"/>
      <c r="E28" s="218"/>
      <c r="F28" s="218"/>
      <c r="G28" s="218"/>
      <c r="H28" s="218"/>
      <c r="I28" s="219"/>
      <c r="K28" s="220"/>
      <c r="L28" s="218"/>
      <c r="M28" s="218"/>
      <c r="N28" s="218"/>
      <c r="O28" s="218"/>
      <c r="P28" s="218"/>
      <c r="Q28" s="219"/>
    </row>
    <row r="29" spans="1:28" ht="15.9" customHeight="1" x14ac:dyDescent="0.3">
      <c r="C29" s="220"/>
      <c r="D29" s="218"/>
      <c r="E29" s="218"/>
      <c r="F29" s="218"/>
      <c r="G29" s="218"/>
      <c r="H29" s="218"/>
      <c r="I29" s="219"/>
      <c r="K29" s="220"/>
      <c r="L29" s="218"/>
      <c r="M29" s="218"/>
      <c r="N29" s="218"/>
      <c r="O29" s="218"/>
      <c r="P29" s="218"/>
      <c r="Q29" s="219"/>
    </row>
    <row r="30" spans="1:28" x14ac:dyDescent="0.3">
      <c r="C30" s="220"/>
      <c r="D30" s="218"/>
      <c r="E30" s="218"/>
      <c r="F30" s="218"/>
      <c r="G30" s="218"/>
      <c r="H30" s="218"/>
      <c r="I30" s="219"/>
      <c r="K30" s="220"/>
      <c r="L30" s="218"/>
      <c r="M30" s="218"/>
      <c r="N30" s="218"/>
      <c r="O30" s="218"/>
      <c r="P30" s="218"/>
      <c r="Q30" s="219"/>
    </row>
    <row r="31" spans="1:28" ht="20.100000000000001" customHeight="1" x14ac:dyDescent="0.3">
      <c r="C31" s="220"/>
      <c r="D31" s="218"/>
      <c r="E31" s="218"/>
      <c r="F31" s="218"/>
      <c r="G31" s="218"/>
      <c r="H31" s="218"/>
      <c r="I31" s="219"/>
      <c r="K31" s="220"/>
      <c r="L31" s="218"/>
      <c r="M31" s="218"/>
      <c r="N31" s="218"/>
      <c r="O31" s="218"/>
      <c r="P31" s="218"/>
      <c r="Q31" s="219"/>
    </row>
    <row r="32" spans="1:28" ht="15.9" customHeight="1" x14ac:dyDescent="0.3">
      <c r="C32" s="220"/>
      <c r="D32" s="218"/>
      <c r="E32" s="218"/>
      <c r="F32" s="218"/>
      <c r="G32" s="218"/>
      <c r="H32" s="218"/>
      <c r="I32" s="219"/>
      <c r="K32" s="220"/>
      <c r="L32" s="218"/>
      <c r="M32" s="218"/>
      <c r="N32" s="218"/>
      <c r="O32" s="218"/>
      <c r="P32" s="218"/>
      <c r="Q32" s="219"/>
    </row>
    <row r="33" spans="3:17" ht="15.9" customHeight="1" x14ac:dyDescent="0.3">
      <c r="C33" s="220"/>
      <c r="D33" s="218"/>
      <c r="E33" s="218"/>
      <c r="F33" s="218"/>
      <c r="G33" s="218"/>
      <c r="H33" s="218"/>
      <c r="I33" s="219"/>
      <c r="K33" s="220"/>
      <c r="L33" s="218"/>
      <c r="M33" s="218"/>
      <c r="N33" s="218"/>
      <c r="O33" s="218"/>
      <c r="P33" s="218"/>
      <c r="Q33" s="219"/>
    </row>
    <row r="34" spans="3:17" ht="15.9" customHeight="1" x14ac:dyDescent="0.3">
      <c r="C34" s="220"/>
      <c r="D34" s="218"/>
      <c r="E34" s="218"/>
      <c r="F34" s="218"/>
      <c r="G34" s="218"/>
      <c r="H34" s="218"/>
      <c r="I34" s="219"/>
      <c r="K34" s="220"/>
      <c r="L34" s="218"/>
      <c r="M34" s="218"/>
      <c r="N34" s="218"/>
      <c r="O34" s="218"/>
      <c r="P34" s="218"/>
      <c r="Q34" s="219"/>
    </row>
    <row r="35" spans="3:17" ht="15.9" customHeight="1" x14ac:dyDescent="0.3">
      <c r="C35" s="220"/>
      <c r="D35" s="218"/>
      <c r="E35" s="218"/>
      <c r="F35" s="218"/>
      <c r="G35" s="218"/>
      <c r="H35" s="218"/>
      <c r="I35" s="219"/>
      <c r="K35" s="220"/>
      <c r="L35" s="218"/>
      <c r="M35" s="218"/>
      <c r="N35" s="218"/>
      <c r="O35" s="218"/>
      <c r="P35" s="218"/>
      <c r="Q35" s="219"/>
    </row>
    <row r="36" spans="3:17" ht="15.9" customHeight="1" x14ac:dyDescent="0.3">
      <c r="C36" s="220"/>
      <c r="D36" s="218"/>
      <c r="E36" s="218"/>
      <c r="F36" s="218"/>
      <c r="G36" s="218"/>
      <c r="H36" s="218"/>
      <c r="I36" s="219"/>
      <c r="K36" s="220"/>
      <c r="L36" s="218"/>
      <c r="M36" s="218"/>
      <c r="N36" s="218"/>
      <c r="O36" s="218"/>
      <c r="P36" s="218"/>
      <c r="Q36" s="219"/>
    </row>
    <row r="37" spans="3:17" ht="15.9" customHeight="1" x14ac:dyDescent="0.3">
      <c r="C37" s="220"/>
      <c r="D37" s="218"/>
      <c r="E37" s="218"/>
      <c r="F37" s="218"/>
      <c r="G37" s="218"/>
      <c r="H37" s="218"/>
      <c r="I37" s="219"/>
      <c r="K37" s="220"/>
      <c r="L37" s="218"/>
      <c r="M37" s="218"/>
      <c r="N37" s="218"/>
      <c r="O37" s="218"/>
      <c r="P37" s="218"/>
      <c r="Q37" s="219"/>
    </row>
    <row r="38" spans="3:17" ht="15.9" customHeight="1" thickBot="1" x14ac:dyDescent="0.35">
      <c r="C38" s="221"/>
      <c r="D38" s="222"/>
      <c r="E38" s="222"/>
      <c r="F38" s="222"/>
      <c r="G38" s="222"/>
      <c r="H38" s="222"/>
      <c r="I38" s="223"/>
      <c r="K38" s="221"/>
      <c r="L38" s="222"/>
      <c r="M38" s="222"/>
      <c r="N38" s="222"/>
      <c r="O38" s="222"/>
      <c r="P38" s="222"/>
      <c r="Q38" s="223"/>
    </row>
    <row r="39" spans="3:17" ht="15" customHeight="1" thickTop="1" thickBot="1" x14ac:dyDescent="0.35"/>
    <row r="40" spans="3:17" ht="20.100000000000001" customHeight="1" thickTop="1" x14ac:dyDescent="0.3">
      <c r="C40" s="214" t="s">
        <v>70</v>
      </c>
      <c r="D40" s="215"/>
      <c r="E40" s="215"/>
      <c r="F40" s="215"/>
      <c r="G40" s="215"/>
      <c r="H40" s="215"/>
      <c r="I40" s="216"/>
      <c r="K40" s="214" t="s">
        <v>71</v>
      </c>
      <c r="L40" s="215"/>
      <c r="M40" s="215"/>
      <c r="N40" s="215"/>
      <c r="O40" s="215"/>
      <c r="P40" s="215"/>
      <c r="Q40" s="216"/>
    </row>
    <row r="41" spans="3:17" ht="15.9" customHeight="1" x14ac:dyDescent="0.3">
      <c r="C41" s="217" t="s">
        <v>153</v>
      </c>
      <c r="D41" s="218"/>
      <c r="E41" s="218"/>
      <c r="F41" s="218"/>
      <c r="G41" s="218"/>
      <c r="H41" s="218"/>
      <c r="I41" s="219"/>
      <c r="K41" s="217" t="s">
        <v>119</v>
      </c>
      <c r="L41" s="218"/>
      <c r="M41" s="218"/>
      <c r="N41" s="218"/>
      <c r="O41" s="218"/>
      <c r="P41" s="218"/>
      <c r="Q41" s="219"/>
    </row>
    <row r="42" spans="3:17" ht="15.9" customHeight="1" x14ac:dyDescent="0.3">
      <c r="C42" s="220"/>
      <c r="D42" s="218"/>
      <c r="E42" s="218"/>
      <c r="F42" s="218"/>
      <c r="G42" s="218"/>
      <c r="H42" s="218"/>
      <c r="I42" s="219"/>
      <c r="K42" s="220"/>
      <c r="L42" s="218"/>
      <c r="M42" s="218"/>
      <c r="N42" s="218"/>
      <c r="O42" s="218"/>
      <c r="P42" s="218"/>
      <c r="Q42" s="219"/>
    </row>
    <row r="43" spans="3:17" ht="15.9" customHeight="1" x14ac:dyDescent="0.3">
      <c r="C43" s="220"/>
      <c r="D43" s="218"/>
      <c r="E43" s="218"/>
      <c r="F43" s="218"/>
      <c r="G43" s="218"/>
      <c r="H43" s="218"/>
      <c r="I43" s="219"/>
      <c r="K43" s="220"/>
      <c r="L43" s="218"/>
      <c r="M43" s="218"/>
      <c r="N43" s="218"/>
      <c r="O43" s="218"/>
      <c r="P43" s="218"/>
      <c r="Q43" s="219"/>
    </row>
    <row r="44" spans="3:17" ht="15.9" customHeight="1" x14ac:dyDescent="0.3">
      <c r="C44" s="220"/>
      <c r="D44" s="218"/>
      <c r="E44" s="218"/>
      <c r="F44" s="218"/>
      <c r="G44" s="218"/>
      <c r="H44" s="218"/>
      <c r="I44" s="219"/>
      <c r="K44" s="220"/>
      <c r="L44" s="218"/>
      <c r="M44" s="218"/>
      <c r="N44" s="218"/>
      <c r="O44" s="218"/>
      <c r="P44" s="218"/>
      <c r="Q44" s="219"/>
    </row>
    <row r="45" spans="3:17" ht="15.9" customHeight="1" x14ac:dyDescent="0.3">
      <c r="C45" s="220"/>
      <c r="D45" s="218"/>
      <c r="E45" s="218"/>
      <c r="F45" s="218"/>
      <c r="G45" s="218"/>
      <c r="H45" s="218"/>
      <c r="I45" s="219"/>
      <c r="K45" s="220"/>
      <c r="L45" s="218"/>
      <c r="M45" s="218"/>
      <c r="N45" s="218"/>
      <c r="O45" s="218"/>
      <c r="P45" s="218"/>
      <c r="Q45" s="219"/>
    </row>
    <row r="46" spans="3:17" ht="15.9" customHeight="1" x14ac:dyDescent="0.3">
      <c r="C46" s="220"/>
      <c r="D46" s="218"/>
      <c r="E46" s="218"/>
      <c r="F46" s="218"/>
      <c r="G46" s="218"/>
      <c r="H46" s="218"/>
      <c r="I46" s="219"/>
      <c r="K46" s="220"/>
      <c r="L46" s="218"/>
      <c r="M46" s="218"/>
      <c r="N46" s="218"/>
      <c r="O46" s="218"/>
      <c r="P46" s="218"/>
      <c r="Q46" s="219"/>
    </row>
    <row r="47" spans="3:17" ht="15.9" customHeight="1" x14ac:dyDescent="0.3">
      <c r="C47" s="220"/>
      <c r="D47" s="218"/>
      <c r="E47" s="218"/>
      <c r="F47" s="218"/>
      <c r="G47" s="218"/>
      <c r="H47" s="218"/>
      <c r="I47" s="219"/>
      <c r="K47" s="220"/>
      <c r="L47" s="218"/>
      <c r="M47" s="218"/>
      <c r="N47" s="218"/>
      <c r="O47" s="218"/>
      <c r="P47" s="218"/>
      <c r="Q47" s="219"/>
    </row>
    <row r="48" spans="3:17" s="46" customFormat="1" ht="15.9" customHeight="1" x14ac:dyDescent="0.3">
      <c r="C48" s="220"/>
      <c r="D48" s="218"/>
      <c r="E48" s="218"/>
      <c r="F48" s="218"/>
      <c r="G48" s="218"/>
      <c r="H48" s="218"/>
      <c r="I48" s="219"/>
      <c r="K48" s="220"/>
      <c r="L48" s="218"/>
      <c r="M48" s="218"/>
      <c r="N48" s="218"/>
      <c r="O48" s="218"/>
      <c r="P48" s="218"/>
      <c r="Q48" s="219"/>
    </row>
    <row r="49" spans="3:34" s="46" customFormat="1" ht="15.9" customHeight="1" x14ac:dyDescent="0.3">
      <c r="C49" s="220"/>
      <c r="D49" s="218"/>
      <c r="E49" s="218"/>
      <c r="F49" s="218"/>
      <c r="G49" s="218"/>
      <c r="H49" s="218"/>
      <c r="I49" s="219"/>
      <c r="K49" s="220"/>
      <c r="L49" s="218"/>
      <c r="M49" s="218"/>
      <c r="N49" s="218"/>
      <c r="O49" s="218"/>
      <c r="P49" s="218"/>
      <c r="Q49" s="219"/>
    </row>
    <row r="50" spans="3:34" s="46" customFormat="1" ht="15.9" customHeight="1" x14ac:dyDescent="0.3">
      <c r="C50" s="220"/>
      <c r="D50" s="218"/>
      <c r="E50" s="218"/>
      <c r="F50" s="218"/>
      <c r="G50" s="218"/>
      <c r="H50" s="218"/>
      <c r="I50" s="219"/>
      <c r="K50" s="220"/>
      <c r="L50" s="218"/>
      <c r="M50" s="218"/>
      <c r="N50" s="218"/>
      <c r="O50" s="218"/>
      <c r="P50" s="218"/>
      <c r="Q50" s="219"/>
      <c r="U50"/>
    </row>
    <row r="51" spans="3:34" ht="15.9" customHeight="1" x14ac:dyDescent="0.3">
      <c r="C51" s="220"/>
      <c r="D51" s="218"/>
      <c r="E51" s="218"/>
      <c r="F51" s="218"/>
      <c r="G51" s="218"/>
      <c r="H51" s="218"/>
      <c r="I51" s="219"/>
      <c r="K51" s="220"/>
      <c r="L51" s="218"/>
      <c r="M51" s="218"/>
      <c r="N51" s="218"/>
      <c r="O51" s="218"/>
      <c r="P51" s="218"/>
      <c r="Q51" s="219"/>
    </row>
    <row r="52" spans="3:34" ht="15.9" customHeight="1" x14ac:dyDescent="0.3">
      <c r="C52" s="220"/>
      <c r="D52" s="218"/>
      <c r="E52" s="218"/>
      <c r="F52" s="218"/>
      <c r="G52" s="218"/>
      <c r="H52" s="218"/>
      <c r="I52" s="219"/>
      <c r="K52" s="220"/>
      <c r="L52" s="218"/>
      <c r="M52" s="218"/>
      <c r="N52" s="218"/>
      <c r="O52" s="218"/>
      <c r="P52" s="218"/>
      <c r="Q52" s="219"/>
    </row>
    <row r="53" spans="3:34" ht="15.9" customHeight="1" x14ac:dyDescent="0.3">
      <c r="C53" s="220"/>
      <c r="D53" s="218"/>
      <c r="E53" s="218"/>
      <c r="F53" s="218"/>
      <c r="G53" s="218"/>
      <c r="H53" s="218"/>
      <c r="I53" s="219"/>
      <c r="K53" s="220"/>
      <c r="L53" s="218"/>
      <c r="M53" s="218"/>
      <c r="N53" s="218"/>
      <c r="O53" s="218"/>
      <c r="P53" s="218"/>
      <c r="Q53" s="219"/>
    </row>
    <row r="54" spans="3:34" ht="15.9" customHeight="1" x14ac:dyDescent="0.3">
      <c r="C54" s="220"/>
      <c r="D54" s="218"/>
      <c r="E54" s="218"/>
      <c r="F54" s="218"/>
      <c r="G54" s="218"/>
      <c r="H54" s="218"/>
      <c r="I54" s="219"/>
      <c r="K54" s="220"/>
      <c r="L54" s="218"/>
      <c r="M54" s="218"/>
      <c r="N54" s="218"/>
      <c r="O54" s="218"/>
      <c r="P54" s="218"/>
      <c r="Q54" s="219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</row>
    <row r="55" spans="3:34" ht="15.9" customHeight="1" x14ac:dyDescent="0.3">
      <c r="C55" s="220"/>
      <c r="D55" s="218"/>
      <c r="E55" s="218"/>
      <c r="F55" s="218"/>
      <c r="G55" s="218"/>
      <c r="H55" s="218"/>
      <c r="I55" s="219"/>
      <c r="K55" s="220"/>
      <c r="L55" s="218"/>
      <c r="M55" s="218"/>
      <c r="N55" s="218"/>
      <c r="O55" s="218"/>
      <c r="P55" s="218"/>
      <c r="Q55" s="219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</row>
    <row r="56" spans="3:34" s="46" customFormat="1" ht="15.9" customHeight="1" x14ac:dyDescent="0.3">
      <c r="C56" s="220"/>
      <c r="D56" s="218"/>
      <c r="E56" s="218"/>
      <c r="F56" s="218"/>
      <c r="G56" s="218"/>
      <c r="H56" s="218"/>
      <c r="I56" s="219"/>
      <c r="K56" s="220"/>
      <c r="L56" s="218"/>
      <c r="M56" s="218"/>
      <c r="N56" s="218"/>
      <c r="O56" s="218"/>
      <c r="P56" s="218"/>
      <c r="Q56" s="219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3:34" s="46" customFormat="1" ht="15.9" customHeight="1" x14ac:dyDescent="0.3">
      <c r="C57" s="220"/>
      <c r="D57" s="218"/>
      <c r="E57" s="218"/>
      <c r="F57" s="218"/>
      <c r="G57" s="218"/>
      <c r="H57" s="218"/>
      <c r="I57" s="219"/>
      <c r="K57" s="220"/>
      <c r="L57" s="218"/>
      <c r="M57" s="218"/>
      <c r="N57" s="218"/>
      <c r="O57" s="218"/>
      <c r="P57" s="218"/>
      <c r="Q57" s="219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3:34" s="46" customFormat="1" ht="15.9" customHeight="1" x14ac:dyDescent="0.3">
      <c r="C58" s="220"/>
      <c r="D58" s="218"/>
      <c r="E58" s="218"/>
      <c r="F58" s="218"/>
      <c r="G58" s="218"/>
      <c r="H58" s="218"/>
      <c r="I58" s="219"/>
      <c r="K58" s="220"/>
      <c r="L58" s="218"/>
      <c r="M58" s="218"/>
      <c r="N58" s="218"/>
      <c r="O58" s="218"/>
      <c r="P58" s="218"/>
      <c r="Q58" s="219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3:34" s="46" customFormat="1" ht="15.9" customHeight="1" x14ac:dyDescent="0.3">
      <c r="C59" s="220"/>
      <c r="D59" s="218"/>
      <c r="E59" s="218"/>
      <c r="F59" s="218"/>
      <c r="G59" s="218"/>
      <c r="H59" s="218"/>
      <c r="I59" s="219"/>
      <c r="K59" s="220"/>
      <c r="L59" s="218"/>
      <c r="M59" s="218"/>
      <c r="N59" s="218"/>
      <c r="O59" s="218"/>
      <c r="P59" s="218"/>
      <c r="Q59" s="219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3:34" ht="15.9" customHeight="1" x14ac:dyDescent="0.3">
      <c r="C60" s="220"/>
      <c r="D60" s="218"/>
      <c r="E60" s="218"/>
      <c r="F60" s="218"/>
      <c r="G60" s="218"/>
      <c r="H60" s="218"/>
      <c r="I60" s="219"/>
      <c r="K60" s="220"/>
      <c r="L60" s="218"/>
      <c r="M60" s="218"/>
      <c r="N60" s="218"/>
      <c r="O60" s="218"/>
      <c r="P60" s="218"/>
      <c r="Q60" s="219"/>
    </row>
    <row r="61" spans="3:34" ht="15.9" customHeight="1" x14ac:dyDescent="0.3">
      <c r="C61" s="220"/>
      <c r="D61" s="218"/>
      <c r="E61" s="218"/>
      <c r="F61" s="218"/>
      <c r="G61" s="218"/>
      <c r="H61" s="218"/>
      <c r="I61" s="219"/>
      <c r="K61" s="220"/>
      <c r="L61" s="218"/>
      <c r="M61" s="218"/>
      <c r="N61" s="218"/>
      <c r="O61" s="218"/>
      <c r="P61" s="218"/>
      <c r="Q61" s="219"/>
    </row>
    <row r="62" spans="3:34" ht="15.9" customHeight="1" x14ac:dyDescent="0.3">
      <c r="C62" s="220"/>
      <c r="D62" s="218"/>
      <c r="E62" s="218"/>
      <c r="F62" s="218"/>
      <c r="G62" s="218"/>
      <c r="H62" s="218"/>
      <c r="I62" s="219"/>
      <c r="K62" s="220"/>
      <c r="L62" s="218"/>
      <c r="M62" s="218"/>
      <c r="N62" s="218"/>
      <c r="O62" s="218"/>
      <c r="P62" s="218"/>
      <c r="Q62" s="219"/>
    </row>
    <row r="63" spans="3:34" ht="15.9" customHeight="1" x14ac:dyDescent="0.3">
      <c r="C63" s="220"/>
      <c r="D63" s="218"/>
      <c r="E63" s="218"/>
      <c r="F63" s="218"/>
      <c r="G63" s="218"/>
      <c r="H63" s="218"/>
      <c r="I63" s="219"/>
      <c r="K63" s="220"/>
      <c r="L63" s="218"/>
      <c r="M63" s="218"/>
      <c r="N63" s="218"/>
      <c r="O63" s="218"/>
      <c r="P63" s="218"/>
      <c r="Q63" s="219"/>
    </row>
    <row r="64" spans="3:34" ht="9.9" customHeight="1" x14ac:dyDescent="0.3">
      <c r="C64" s="220"/>
      <c r="D64" s="218"/>
      <c r="E64" s="218"/>
      <c r="F64" s="218"/>
      <c r="G64" s="218"/>
      <c r="H64" s="218"/>
      <c r="I64" s="219"/>
      <c r="K64" s="220"/>
      <c r="L64" s="218"/>
      <c r="M64" s="218"/>
      <c r="N64" s="218"/>
      <c r="O64" s="218"/>
      <c r="P64" s="218"/>
      <c r="Q64" s="219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</row>
    <row r="65" spans="3:34" ht="20.100000000000001" customHeight="1" x14ac:dyDescent="0.3">
      <c r="C65" s="220"/>
      <c r="D65" s="218"/>
      <c r="E65" s="218"/>
      <c r="F65" s="218"/>
      <c r="G65" s="218"/>
      <c r="H65" s="218"/>
      <c r="I65" s="219"/>
      <c r="K65" s="220"/>
      <c r="L65" s="218"/>
      <c r="M65" s="218"/>
      <c r="N65" s="218"/>
      <c r="O65" s="218"/>
      <c r="P65" s="218"/>
      <c r="Q65" s="219"/>
    </row>
    <row r="66" spans="3:34" ht="15.9" customHeight="1" x14ac:dyDescent="0.3">
      <c r="C66" s="220"/>
      <c r="D66" s="218"/>
      <c r="E66" s="218"/>
      <c r="F66" s="218"/>
      <c r="G66" s="218"/>
      <c r="H66" s="218"/>
      <c r="I66" s="219"/>
      <c r="K66" s="220"/>
      <c r="L66" s="218"/>
      <c r="M66" s="218"/>
      <c r="N66" s="218"/>
      <c r="O66" s="218"/>
      <c r="P66" s="218"/>
      <c r="Q66" s="219"/>
    </row>
    <row r="67" spans="3:34" ht="15.9" customHeight="1" x14ac:dyDescent="0.3">
      <c r="C67" s="220"/>
      <c r="D67" s="218"/>
      <c r="E67" s="218"/>
      <c r="F67" s="218"/>
      <c r="G67" s="218"/>
      <c r="H67" s="218"/>
      <c r="I67" s="219"/>
      <c r="K67" s="220"/>
      <c r="L67" s="218"/>
      <c r="M67" s="218"/>
      <c r="N67" s="218"/>
      <c r="O67" s="218"/>
      <c r="P67" s="218"/>
      <c r="Q67" s="219"/>
      <c r="U67"/>
    </row>
    <row r="68" spans="3:34" s="46" customFormat="1" ht="15.9" customHeight="1" x14ac:dyDescent="0.3">
      <c r="C68" s="220"/>
      <c r="D68" s="218"/>
      <c r="E68" s="218"/>
      <c r="F68" s="218"/>
      <c r="G68" s="218"/>
      <c r="H68" s="218"/>
      <c r="I68" s="219"/>
      <c r="K68" s="220"/>
      <c r="L68" s="218"/>
      <c r="M68" s="218"/>
      <c r="N68" s="218"/>
      <c r="O68" s="218"/>
      <c r="P68" s="218"/>
      <c r="Q68" s="219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3:34" s="46" customFormat="1" ht="15.9" customHeight="1" x14ac:dyDescent="0.3">
      <c r="C69" s="220"/>
      <c r="D69" s="218"/>
      <c r="E69" s="218"/>
      <c r="F69" s="218"/>
      <c r="G69" s="218"/>
      <c r="H69" s="218"/>
      <c r="I69" s="219"/>
      <c r="K69" s="220"/>
      <c r="L69" s="218"/>
      <c r="M69" s="218"/>
      <c r="N69" s="218"/>
      <c r="O69" s="218"/>
      <c r="P69" s="218"/>
      <c r="Q69" s="219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3:34" ht="15.9" customHeight="1" x14ac:dyDescent="0.3">
      <c r="C70" s="220"/>
      <c r="D70" s="218"/>
      <c r="E70" s="218"/>
      <c r="F70" s="218"/>
      <c r="G70" s="218"/>
      <c r="H70" s="218"/>
      <c r="I70" s="219"/>
      <c r="K70" s="220"/>
      <c r="L70" s="218"/>
      <c r="M70" s="218"/>
      <c r="N70" s="218"/>
      <c r="O70" s="218"/>
      <c r="P70" s="218"/>
      <c r="Q70" s="219"/>
    </row>
    <row r="71" spans="3:34" ht="15.9" customHeight="1" x14ac:dyDescent="0.3">
      <c r="C71" s="220"/>
      <c r="D71" s="218"/>
      <c r="E71" s="218"/>
      <c r="F71" s="218"/>
      <c r="G71" s="218"/>
      <c r="H71" s="218"/>
      <c r="I71" s="219"/>
      <c r="K71" s="220"/>
      <c r="L71" s="218"/>
      <c r="M71" s="218"/>
      <c r="N71" s="218"/>
      <c r="O71" s="218"/>
      <c r="P71" s="218"/>
      <c r="Q71" s="219"/>
    </row>
    <row r="72" spans="3:34" ht="15.9" customHeight="1" x14ac:dyDescent="0.3">
      <c r="C72" s="220"/>
      <c r="D72" s="218"/>
      <c r="E72" s="218"/>
      <c r="F72" s="218"/>
      <c r="G72" s="218"/>
      <c r="H72" s="218"/>
      <c r="I72" s="219"/>
      <c r="K72" s="220"/>
      <c r="L72" s="218"/>
      <c r="M72" s="218"/>
      <c r="N72" s="218"/>
      <c r="O72" s="218"/>
      <c r="P72" s="218"/>
      <c r="Q72" s="219"/>
    </row>
    <row r="73" spans="3:34" ht="15.9" customHeight="1" x14ac:dyDescent="0.3">
      <c r="C73" s="220"/>
      <c r="D73" s="218"/>
      <c r="E73" s="218"/>
      <c r="F73" s="218"/>
      <c r="G73" s="218"/>
      <c r="H73" s="218"/>
      <c r="I73" s="219"/>
      <c r="K73" s="220"/>
      <c r="L73" s="218"/>
      <c r="M73" s="218"/>
      <c r="N73" s="218"/>
      <c r="O73" s="218"/>
      <c r="P73" s="218"/>
      <c r="Q73" s="219"/>
    </row>
    <row r="74" spans="3:34" ht="15.9" customHeight="1" thickBot="1" x14ac:dyDescent="0.35">
      <c r="C74" s="221"/>
      <c r="D74" s="222"/>
      <c r="E74" s="222"/>
      <c r="F74" s="222"/>
      <c r="G74" s="222"/>
      <c r="H74" s="222"/>
      <c r="I74" s="223"/>
      <c r="K74" s="221"/>
      <c r="L74" s="222"/>
      <c r="M74" s="222"/>
      <c r="N74" s="222"/>
      <c r="O74" s="222"/>
      <c r="P74" s="222"/>
      <c r="Q74" s="223"/>
    </row>
    <row r="75" spans="3:34" ht="14.4" thickTop="1" x14ac:dyDescent="0.3"/>
    <row r="77" spans="3:34" ht="14.4" x14ac:dyDescent="0.3">
      <c r="K77"/>
    </row>
  </sheetData>
  <mergeCells count="10">
    <mergeCell ref="C2:N2"/>
    <mergeCell ref="O2:Q2"/>
    <mergeCell ref="C4:I4"/>
    <mergeCell ref="K4:Q4"/>
    <mergeCell ref="C41:I74"/>
    <mergeCell ref="K41:Q74"/>
    <mergeCell ref="C40:I40"/>
    <mergeCell ref="K40:Q40"/>
    <mergeCell ref="C5:I38"/>
    <mergeCell ref="K5:Q38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64" orientation="landscape" r:id="rId1"/>
  <headerFooter>
    <oddFooter>&amp;L&amp;"Arial,Regular"&amp;F&amp;C&amp;"Arial,Regular"Page &amp;P / &amp;N&amp;R&amp;"Arial,Regular"&amp;D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C1:AJ68"/>
  <sheetViews>
    <sheetView view="pageBreakPreview" zoomScale="85" zoomScaleNormal="85" zoomScaleSheetLayoutView="85" workbookViewId="0">
      <selection activeCell="Y7" sqref="Y7"/>
    </sheetView>
  </sheetViews>
  <sheetFormatPr defaultColWidth="9.109375" defaultRowHeight="13.8" x14ac:dyDescent="0.3"/>
  <cols>
    <col min="1" max="2" width="2.33203125" style="46" customWidth="1"/>
    <col min="3" max="3" width="38.6640625" style="46" customWidth="1"/>
    <col min="4" max="4" width="31.44140625" style="46" customWidth="1"/>
    <col min="5" max="5" width="1.6640625" style="46" customWidth="1"/>
    <col min="6" max="6" width="16.33203125" style="46" customWidth="1"/>
    <col min="7" max="10" width="11.44140625" style="46" customWidth="1"/>
    <col min="11" max="11" width="2.6640625" style="46" customWidth="1"/>
    <col min="12" max="12" width="38.6640625" style="46" customWidth="1"/>
    <col min="13" max="13" width="31.44140625" style="46" customWidth="1"/>
    <col min="14" max="14" width="1.6640625" style="46" customWidth="1"/>
    <col min="15" max="15" width="16.33203125" style="46" customWidth="1"/>
    <col min="16" max="19" width="11.44140625" style="46" customWidth="1"/>
    <col min="20" max="20" width="19" style="46" customWidth="1"/>
    <col min="21" max="21" width="3" style="46" customWidth="1"/>
    <col min="22" max="24" width="2.6640625" style="46" customWidth="1"/>
    <col min="25" max="25" width="17.6640625" style="46" customWidth="1"/>
    <col min="26" max="26" width="12.33203125" style="43" customWidth="1"/>
    <col min="27" max="30" width="11.33203125" style="46" customWidth="1"/>
    <col min="31" max="31" width="12" style="46" customWidth="1"/>
    <col min="32" max="34" width="11.33203125" style="46" customWidth="1"/>
    <col min="35" max="35" width="11.33203125" style="73" customWidth="1"/>
    <col min="36" max="36" width="12.33203125" style="73" customWidth="1"/>
    <col min="37" max="37" width="16.6640625" style="46" customWidth="1"/>
    <col min="38" max="42" width="9.109375" style="46" customWidth="1"/>
    <col min="43" max="43" width="4.6640625" style="46" customWidth="1"/>
    <col min="44" max="46" width="19" style="46" customWidth="1"/>
    <col min="47" max="16384" width="9.109375" style="46"/>
  </cols>
  <sheetData>
    <row r="1" spans="3:36" ht="13.95" thickBot="1" x14ac:dyDescent="0.5"/>
    <row r="2" spans="3:36" ht="54.9" customHeight="1" thickTop="1" thickBot="1" x14ac:dyDescent="0.35">
      <c r="C2" s="199" t="s">
        <v>163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27" t="str">
        <f>'ELM-30-A'!P2:S2</f>
        <v>Issue Date: 21 Feb 2021
Cut-off Date:18 Feb 2021
Rev: 00</v>
      </c>
      <c r="Q2" s="228"/>
      <c r="R2" s="229"/>
      <c r="S2" s="230"/>
      <c r="T2" s="71">
        <f>'ELM-30-A'!T2</f>
        <v>44245</v>
      </c>
    </row>
    <row r="3" spans="3:36" ht="20.100000000000001" customHeight="1" thickTop="1" thickBot="1" x14ac:dyDescent="0.5"/>
    <row r="4" spans="3:36" ht="30" customHeight="1" thickTop="1" thickBot="1" x14ac:dyDescent="0.35">
      <c r="C4" s="162" t="s">
        <v>0</v>
      </c>
      <c r="D4" s="163"/>
      <c r="E4" s="10"/>
      <c r="F4" s="189" t="s">
        <v>15</v>
      </c>
      <c r="G4" s="190"/>
      <c r="H4" s="190"/>
      <c r="I4" s="190"/>
      <c r="J4" s="191"/>
      <c r="L4" s="162" t="s">
        <v>0</v>
      </c>
      <c r="M4" s="163"/>
      <c r="N4" s="10"/>
      <c r="O4" s="189" t="s">
        <v>15</v>
      </c>
      <c r="P4" s="190"/>
      <c r="Q4" s="190"/>
      <c r="R4" s="190"/>
      <c r="S4" s="191"/>
      <c r="Z4" s="46"/>
      <c r="AI4" s="46"/>
      <c r="AJ4" s="46"/>
    </row>
    <row r="5" spans="3:36" ht="15.9" customHeight="1" x14ac:dyDescent="0.3">
      <c r="C5" s="11" t="s">
        <v>1</v>
      </c>
      <c r="D5" s="5" t="s">
        <v>125</v>
      </c>
      <c r="E5" s="3"/>
      <c r="F5" s="224" t="s">
        <v>24</v>
      </c>
      <c r="G5" s="225"/>
      <c r="H5" s="225"/>
      <c r="I5" s="225"/>
      <c r="J5" s="226"/>
      <c r="L5" s="11" t="s">
        <v>1</v>
      </c>
      <c r="M5" s="5" t="s">
        <v>127</v>
      </c>
      <c r="N5" s="3"/>
      <c r="O5" s="158" t="s">
        <v>24</v>
      </c>
      <c r="P5" s="159"/>
      <c r="Q5" s="159"/>
      <c r="R5" s="160"/>
      <c r="S5" s="161"/>
      <c r="Z5" s="46"/>
      <c r="AI5" s="46"/>
      <c r="AJ5" s="46"/>
    </row>
    <row r="6" spans="3:36" ht="15.9" customHeight="1" thickBot="1" x14ac:dyDescent="0.35">
      <c r="C6" s="22" t="s">
        <v>49</v>
      </c>
      <c r="D6" s="26" t="s">
        <v>72</v>
      </c>
      <c r="E6" s="3"/>
      <c r="F6" s="49" t="s">
        <v>28</v>
      </c>
      <c r="G6" s="50" t="s">
        <v>21</v>
      </c>
      <c r="H6" s="50" t="s">
        <v>22</v>
      </c>
      <c r="I6" s="50" t="s">
        <v>23</v>
      </c>
      <c r="J6" s="12" t="s">
        <v>123</v>
      </c>
      <c r="L6" s="22" t="s">
        <v>49</v>
      </c>
      <c r="M6" s="26" t="s">
        <v>128</v>
      </c>
      <c r="N6" s="3"/>
      <c r="O6" s="49" t="s">
        <v>28</v>
      </c>
      <c r="P6" s="50" t="s">
        <v>21</v>
      </c>
      <c r="Q6" s="50" t="s">
        <v>22</v>
      </c>
      <c r="R6" s="50" t="s">
        <v>23</v>
      </c>
      <c r="S6" s="12" t="s">
        <v>103</v>
      </c>
      <c r="Z6" s="46"/>
      <c r="AI6" s="46"/>
      <c r="AJ6" s="46"/>
    </row>
    <row r="7" spans="3:36" ht="15.9" customHeight="1" x14ac:dyDescent="0.3">
      <c r="C7" s="22" t="s">
        <v>4</v>
      </c>
      <c r="D7" s="26" t="s">
        <v>50</v>
      </c>
      <c r="E7" s="3"/>
      <c r="F7" s="47" t="s">
        <v>16</v>
      </c>
      <c r="G7" s="141">
        <v>0</v>
      </c>
      <c r="H7" s="141">
        <v>0</v>
      </c>
      <c r="I7" s="141">
        <f>H7-G7</f>
        <v>0</v>
      </c>
      <c r="J7" s="150">
        <v>0.05</v>
      </c>
      <c r="L7" s="22" t="s">
        <v>4</v>
      </c>
      <c r="M7" s="26" t="s">
        <v>129</v>
      </c>
      <c r="N7" s="3"/>
      <c r="O7" s="47" t="s">
        <v>16</v>
      </c>
      <c r="P7" s="141">
        <v>0</v>
      </c>
      <c r="Q7" s="141">
        <v>1.5E-3</v>
      </c>
      <c r="R7" s="141">
        <v>0</v>
      </c>
      <c r="S7" s="150">
        <v>0.10653947492429551</v>
      </c>
      <c r="Z7" s="46"/>
      <c r="AI7" s="46"/>
      <c r="AJ7" s="46"/>
    </row>
    <row r="8" spans="3:36" ht="15.9" customHeight="1" x14ac:dyDescent="0.3">
      <c r="C8" s="22" t="s">
        <v>6</v>
      </c>
      <c r="D8" s="26" t="s">
        <v>51</v>
      </c>
      <c r="E8" s="3"/>
      <c r="F8" s="6" t="s">
        <v>17</v>
      </c>
      <c r="G8" s="140">
        <v>0</v>
      </c>
      <c r="H8" s="140">
        <v>0.01</v>
      </c>
      <c r="I8" s="140">
        <f>H8-G8</f>
        <v>0.01</v>
      </c>
      <c r="J8" s="150">
        <v>0.55000000000000004</v>
      </c>
      <c r="L8" s="22" t="s">
        <v>6</v>
      </c>
      <c r="M8" s="26" t="s">
        <v>51</v>
      </c>
      <c r="N8" s="3"/>
      <c r="O8" s="6" t="s">
        <v>17</v>
      </c>
      <c r="P8" s="140">
        <v>1.4999999999999999E-2</v>
      </c>
      <c r="Q8" s="140">
        <v>2.5000000000000001E-3</v>
      </c>
      <c r="R8" s="140">
        <v>0</v>
      </c>
      <c r="S8" s="150">
        <v>0.53607631504542275</v>
      </c>
      <c r="Z8" s="46"/>
      <c r="AI8" s="46"/>
      <c r="AJ8" s="46"/>
    </row>
    <row r="9" spans="3:36" ht="15.9" customHeight="1" x14ac:dyDescent="0.3">
      <c r="C9" s="22" t="s">
        <v>8</v>
      </c>
      <c r="D9" s="26" t="s">
        <v>118</v>
      </c>
      <c r="E9" s="3"/>
      <c r="F9" s="6" t="s">
        <v>18</v>
      </c>
      <c r="G9" s="140">
        <v>0</v>
      </c>
      <c r="H9" s="140">
        <v>2.2499999999999999E-2</v>
      </c>
      <c r="I9" s="140">
        <f>H9-G9</f>
        <v>2.2499999999999999E-2</v>
      </c>
      <c r="J9" s="150">
        <v>0.4</v>
      </c>
      <c r="L9" s="22" t="s">
        <v>8</v>
      </c>
      <c r="M9" s="26" t="s">
        <v>9</v>
      </c>
      <c r="N9" s="3"/>
      <c r="O9" s="6" t="s">
        <v>18</v>
      </c>
      <c r="P9" s="140">
        <v>2.5000000000000001E-2</v>
      </c>
      <c r="Q9" s="140">
        <v>0</v>
      </c>
      <c r="R9" s="140">
        <v>0</v>
      </c>
      <c r="S9" s="150">
        <v>0.35738421003028181</v>
      </c>
      <c r="Z9" s="46"/>
      <c r="AI9" s="46"/>
      <c r="AJ9" s="46"/>
    </row>
    <row r="10" spans="3:36" ht="15.9" customHeight="1" x14ac:dyDescent="0.3">
      <c r="C10" s="128" t="s">
        <v>10</v>
      </c>
      <c r="D10" s="129">
        <v>6250000</v>
      </c>
      <c r="E10" s="3"/>
      <c r="F10" s="6" t="s">
        <v>19</v>
      </c>
      <c r="G10" s="140">
        <v>0</v>
      </c>
      <c r="H10" s="140">
        <v>0</v>
      </c>
      <c r="I10" s="140">
        <f>H10-G10</f>
        <v>0</v>
      </c>
      <c r="J10" s="150">
        <v>0</v>
      </c>
      <c r="L10" s="128" t="s">
        <v>10</v>
      </c>
      <c r="M10" s="129">
        <v>1282205</v>
      </c>
      <c r="N10" s="3"/>
      <c r="O10" s="6" t="s">
        <v>19</v>
      </c>
      <c r="P10" s="140">
        <v>0</v>
      </c>
      <c r="Q10" s="140">
        <v>0</v>
      </c>
      <c r="R10" s="140">
        <f>Q10-P10</f>
        <v>0</v>
      </c>
      <c r="S10" s="150">
        <v>0</v>
      </c>
      <c r="Z10" s="46"/>
      <c r="AI10" s="46"/>
      <c r="AJ10" s="46"/>
    </row>
    <row r="11" spans="3:36" ht="15.9" customHeight="1" thickBot="1" x14ac:dyDescent="0.35">
      <c r="C11" s="128" t="s">
        <v>26</v>
      </c>
      <c r="D11" s="129">
        <v>724228</v>
      </c>
      <c r="E11" s="3"/>
      <c r="F11" s="20" t="s">
        <v>20</v>
      </c>
      <c r="G11" s="146">
        <v>0</v>
      </c>
      <c r="H11" s="146">
        <f>(H7*J7)+(H8*J8)+(H9*J9)</f>
        <v>1.4499999999999999E-2</v>
      </c>
      <c r="I11" s="146">
        <f>H11-G11</f>
        <v>1.4499999999999999E-2</v>
      </c>
      <c r="J11" s="151">
        <f>SUM(J7:J10)</f>
        <v>1</v>
      </c>
      <c r="L11" s="128" t="s">
        <v>26</v>
      </c>
      <c r="M11" s="129">
        <v>0</v>
      </c>
      <c r="N11" s="3"/>
      <c r="O11" s="20" t="s">
        <v>20</v>
      </c>
      <c r="P11" s="146">
        <f>(P7*S7)+(P8*S8)+(P9*S9)</f>
        <v>1.6975749976438387E-2</v>
      </c>
      <c r="Q11" s="146">
        <f>(Q7*S7)+(Q8*S8)+(Q9*S9)</f>
        <v>1.5E-3</v>
      </c>
      <c r="R11" s="146">
        <f>Q11-P11</f>
        <v>-1.5475749976438387E-2</v>
      </c>
      <c r="S11" s="151">
        <f>SUM(S7:S10)</f>
        <v>1</v>
      </c>
      <c r="Z11" s="46"/>
      <c r="AI11" s="46"/>
      <c r="AJ11" s="46"/>
    </row>
    <row r="12" spans="3:36" ht="15.9" customHeight="1" x14ac:dyDescent="0.3">
      <c r="C12" s="128" t="s">
        <v>27</v>
      </c>
      <c r="D12" s="129">
        <f>D10+D11</f>
        <v>6974228</v>
      </c>
      <c r="E12" s="13"/>
      <c r="F12" s="158" t="s">
        <v>25</v>
      </c>
      <c r="G12" s="159"/>
      <c r="H12" s="159"/>
      <c r="I12" s="160"/>
      <c r="J12" s="161"/>
      <c r="L12" s="128" t="s">
        <v>27</v>
      </c>
      <c r="M12" s="129">
        <f>M10+M11</f>
        <v>1282205</v>
      </c>
      <c r="N12" s="13"/>
      <c r="O12" s="158" t="s">
        <v>25</v>
      </c>
      <c r="P12" s="159"/>
      <c r="Q12" s="159"/>
      <c r="R12" s="160"/>
      <c r="S12" s="161"/>
      <c r="Z12" s="46"/>
      <c r="AI12" s="46"/>
      <c r="AJ12" s="46"/>
    </row>
    <row r="13" spans="3:36" ht="15.9" customHeight="1" thickBot="1" x14ac:dyDescent="0.35">
      <c r="C13" s="128" t="s">
        <v>122</v>
      </c>
      <c r="D13" s="129">
        <v>0</v>
      </c>
      <c r="E13" s="13"/>
      <c r="F13" s="49" t="s">
        <v>28</v>
      </c>
      <c r="G13" s="50" t="s">
        <v>21</v>
      </c>
      <c r="H13" s="50" t="s">
        <v>22</v>
      </c>
      <c r="I13" s="50" t="s">
        <v>23</v>
      </c>
      <c r="J13" s="12" t="s">
        <v>123</v>
      </c>
      <c r="L13" s="128" t="s">
        <v>122</v>
      </c>
      <c r="M13" s="129">
        <v>0</v>
      </c>
      <c r="N13" s="13"/>
      <c r="O13" s="49" t="s">
        <v>28</v>
      </c>
      <c r="P13" s="50" t="s">
        <v>21</v>
      </c>
      <c r="Q13" s="50" t="s">
        <v>22</v>
      </c>
      <c r="R13" s="50" t="s">
        <v>23</v>
      </c>
      <c r="S13" s="12" t="s">
        <v>103</v>
      </c>
      <c r="Z13" s="46"/>
      <c r="AI13" s="46"/>
      <c r="AJ13" s="46"/>
    </row>
    <row r="14" spans="3:36" ht="15.9" customHeight="1" x14ac:dyDescent="0.3">
      <c r="C14" s="128" t="s">
        <v>58</v>
      </c>
      <c r="D14" s="129">
        <v>571123.79</v>
      </c>
      <c r="E14" s="13"/>
      <c r="F14" s="47" t="s">
        <v>16</v>
      </c>
      <c r="G14" s="140">
        <v>1</v>
      </c>
      <c r="H14" s="140">
        <v>1</v>
      </c>
      <c r="I14" s="141">
        <f>H14-G14</f>
        <v>0</v>
      </c>
      <c r="J14" s="150">
        <v>0.05</v>
      </c>
      <c r="L14" s="128" t="s">
        <v>58</v>
      </c>
      <c r="M14" s="129">
        <v>0</v>
      </c>
      <c r="N14" s="13"/>
      <c r="O14" s="47" t="s">
        <v>16</v>
      </c>
      <c r="P14" s="140">
        <v>1</v>
      </c>
      <c r="Q14" s="140">
        <f>31.5%+0.15%</f>
        <v>0.3165</v>
      </c>
      <c r="R14" s="141">
        <v>0</v>
      </c>
      <c r="S14" s="150">
        <v>0.10653947492429551</v>
      </c>
      <c r="Z14" s="46"/>
      <c r="AI14" s="46"/>
      <c r="AJ14" s="46"/>
    </row>
    <row r="15" spans="3:36" ht="15.9" customHeight="1" x14ac:dyDescent="0.3">
      <c r="C15" s="128" t="s">
        <v>59</v>
      </c>
      <c r="D15" s="130">
        <f>5647000+615000</f>
        <v>6262000</v>
      </c>
      <c r="E15" s="13"/>
      <c r="F15" s="6" t="s">
        <v>17</v>
      </c>
      <c r="G15" s="140">
        <v>1</v>
      </c>
      <c r="H15" s="140">
        <v>1</v>
      </c>
      <c r="I15" s="140">
        <f>H15-G15</f>
        <v>0</v>
      </c>
      <c r="J15" s="150">
        <v>0.55000000000000004</v>
      </c>
      <c r="L15" s="128" t="s">
        <v>59</v>
      </c>
      <c r="M15" s="130">
        <v>1172088.2</v>
      </c>
      <c r="N15" s="13"/>
      <c r="O15" s="6" t="s">
        <v>17</v>
      </c>
      <c r="P15" s="140">
        <f>81.6974162351729%+1.75%+1.5%</f>
        <v>0.8494741623517289</v>
      </c>
      <c r="Q15" s="140">
        <f>11.5%+0.25%</f>
        <v>0.11750000000000001</v>
      </c>
      <c r="R15" s="140">
        <v>0</v>
      </c>
      <c r="S15" s="150">
        <v>0.53607631504542275</v>
      </c>
      <c r="Z15" s="46"/>
      <c r="AI15" s="46"/>
      <c r="AJ15" s="46"/>
    </row>
    <row r="16" spans="3:36" ht="15.9" customHeight="1" x14ac:dyDescent="0.3">
      <c r="C16" s="22" t="s">
        <v>11</v>
      </c>
      <c r="D16" s="33">
        <v>44150</v>
      </c>
      <c r="E16" s="13"/>
      <c r="F16" s="6" t="s">
        <v>18</v>
      </c>
      <c r="G16" s="140">
        <v>1</v>
      </c>
      <c r="H16" s="140">
        <v>0.97250000000000003</v>
      </c>
      <c r="I16" s="140">
        <f>H16-G16</f>
        <v>-2.7499999999999969E-2</v>
      </c>
      <c r="J16" s="150">
        <v>0.4</v>
      </c>
      <c r="L16" s="22" t="s">
        <v>11</v>
      </c>
      <c r="M16" s="33">
        <v>44287</v>
      </c>
      <c r="N16" s="13"/>
      <c r="O16" s="6" t="s">
        <v>18</v>
      </c>
      <c r="P16" s="140">
        <f>58.6436151916383%+5%+2.5%</f>
        <v>0.66143615191638305</v>
      </c>
      <c r="Q16" s="140">
        <v>0</v>
      </c>
      <c r="R16" s="140">
        <v>0</v>
      </c>
      <c r="S16" s="150">
        <v>0.35738421003028181</v>
      </c>
      <c r="Z16" s="46"/>
      <c r="AI16" s="46"/>
      <c r="AJ16" s="46"/>
    </row>
    <row r="17" spans="3:36" ht="15.9" customHeight="1" x14ac:dyDescent="0.3">
      <c r="C17" s="22" t="s">
        <v>12</v>
      </c>
      <c r="D17" s="7">
        <v>0</v>
      </c>
      <c r="E17" s="13"/>
      <c r="F17" s="6" t="s">
        <v>19</v>
      </c>
      <c r="G17" s="140">
        <v>1</v>
      </c>
      <c r="H17" s="140">
        <v>0</v>
      </c>
      <c r="I17" s="140">
        <f>H17-G17</f>
        <v>-1</v>
      </c>
      <c r="J17" s="150">
        <v>0</v>
      </c>
      <c r="L17" s="22" t="s">
        <v>12</v>
      </c>
      <c r="M17" s="7">
        <v>0</v>
      </c>
      <c r="N17" s="13"/>
      <c r="O17" s="6" t="s">
        <v>19</v>
      </c>
      <c r="P17" s="140">
        <v>0</v>
      </c>
      <c r="Q17" s="140">
        <v>0</v>
      </c>
      <c r="R17" s="140">
        <f>Q17-P17</f>
        <v>0</v>
      </c>
      <c r="S17" s="150">
        <v>0</v>
      </c>
      <c r="AI17" s="46"/>
      <c r="AJ17" s="46"/>
    </row>
    <row r="18" spans="3:36" ht="15.9" customHeight="1" thickBot="1" x14ac:dyDescent="0.35">
      <c r="C18" s="22" t="s">
        <v>13</v>
      </c>
      <c r="D18" s="33">
        <v>44180</v>
      </c>
      <c r="E18" s="14"/>
      <c r="F18" s="20" t="s">
        <v>20</v>
      </c>
      <c r="G18" s="146">
        <f>(G14*J14)+(G15*J15)+(G16*J16)</f>
        <v>1</v>
      </c>
      <c r="H18" s="146">
        <f>(H14*J14)+(H15*J15)+(H16*J16)</f>
        <v>0.9890000000000001</v>
      </c>
      <c r="I18" s="146">
        <f>H18-G18</f>
        <v>-1.0999999999999899E-2</v>
      </c>
      <c r="J18" s="151">
        <f>SUM(J14:J17)</f>
        <v>1</v>
      </c>
      <c r="L18" s="22" t="s">
        <v>13</v>
      </c>
      <c r="M18" s="33">
        <f>M16+M17</f>
        <v>44287</v>
      </c>
      <c r="N18" s="14"/>
      <c r="O18" s="20" t="s">
        <v>20</v>
      </c>
      <c r="P18" s="146">
        <f>(P14*S14)+(P15*S15)+(P16*S16)</f>
        <v>0.79830929024221353</v>
      </c>
      <c r="Q18" s="146">
        <f>(Q14*S14)+(Q15*S15)+(Q16*S16)</f>
        <v>9.6708710831376721E-2</v>
      </c>
      <c r="R18" s="146">
        <f>Q18-P18</f>
        <v>-0.70160057941083687</v>
      </c>
      <c r="S18" s="151">
        <f>SUM(S14:S17)</f>
        <v>1</v>
      </c>
      <c r="Y18" s="46" t="s">
        <v>75</v>
      </c>
      <c r="Z18" s="46"/>
      <c r="AB18" s="46" t="s">
        <v>97</v>
      </c>
      <c r="AF18" s="46" t="s">
        <v>88</v>
      </c>
      <c r="AI18" s="46"/>
      <c r="AJ18" s="46"/>
    </row>
    <row r="19" spans="3:36" ht="15.9" customHeight="1" x14ac:dyDescent="0.3">
      <c r="C19" s="22" t="s">
        <v>121</v>
      </c>
      <c r="D19" s="33">
        <v>44180</v>
      </c>
      <c r="E19" s="15"/>
      <c r="F19" s="158" t="s">
        <v>64</v>
      </c>
      <c r="G19" s="159"/>
      <c r="H19" s="159"/>
      <c r="I19" s="160"/>
      <c r="J19" s="161"/>
      <c r="L19" s="22" t="s">
        <v>121</v>
      </c>
      <c r="M19" s="33">
        <v>44287</v>
      </c>
      <c r="N19" s="15"/>
      <c r="O19" s="158" t="s">
        <v>64</v>
      </c>
      <c r="P19" s="159"/>
      <c r="Q19" s="159"/>
      <c r="R19" s="160"/>
      <c r="S19" s="161"/>
      <c r="Y19" s="127" t="s">
        <v>64</v>
      </c>
      <c r="Z19" s="134"/>
      <c r="AA19" s="134"/>
      <c r="AB19" s="135"/>
      <c r="AC19" s="133" t="s">
        <v>64</v>
      </c>
      <c r="AD19" s="134"/>
      <c r="AE19" s="134"/>
      <c r="AF19" s="135"/>
      <c r="AI19" s="46"/>
      <c r="AJ19" s="46"/>
    </row>
    <row r="20" spans="3:36" ht="15.9" customHeight="1" thickBot="1" x14ac:dyDescent="0.35">
      <c r="C20" s="22" t="s">
        <v>14</v>
      </c>
      <c r="D20" s="33">
        <v>44237</v>
      </c>
      <c r="E20" s="14"/>
      <c r="F20" s="49" t="s">
        <v>60</v>
      </c>
      <c r="G20" s="50" t="s">
        <v>62</v>
      </c>
      <c r="H20" s="50" t="s">
        <v>61</v>
      </c>
      <c r="I20" s="50" t="s">
        <v>63</v>
      </c>
      <c r="J20" s="12"/>
      <c r="L20" s="22" t="s">
        <v>14</v>
      </c>
      <c r="M20" s="33">
        <v>44287</v>
      </c>
      <c r="N20" s="14"/>
      <c r="O20" s="49" t="s">
        <v>60</v>
      </c>
      <c r="P20" s="50" t="s">
        <v>62</v>
      </c>
      <c r="Q20" s="50" t="s">
        <v>61</v>
      </c>
      <c r="R20" s="50" t="s">
        <v>63</v>
      </c>
      <c r="S20" s="12"/>
      <c r="Y20" s="49" t="s">
        <v>60</v>
      </c>
      <c r="Z20" s="50" t="s">
        <v>62</v>
      </c>
      <c r="AA20" s="50" t="s">
        <v>61</v>
      </c>
      <c r="AB20" s="12" t="s">
        <v>63</v>
      </c>
      <c r="AC20" s="49" t="s">
        <v>60</v>
      </c>
      <c r="AD20" s="50" t="s">
        <v>62</v>
      </c>
      <c r="AE20" s="50" t="s">
        <v>61</v>
      </c>
      <c r="AF20" s="12" t="s">
        <v>63</v>
      </c>
      <c r="AI20" s="46"/>
      <c r="AJ20" s="46"/>
    </row>
    <row r="21" spans="3:36" ht="15.9" customHeight="1" x14ac:dyDescent="0.3">
      <c r="C21" s="29" t="s">
        <v>67</v>
      </c>
      <c r="D21" s="7">
        <f>D20-D18</f>
        <v>57</v>
      </c>
      <c r="E21" s="14"/>
      <c r="F21" s="47" t="s">
        <v>65</v>
      </c>
      <c r="G21" s="148">
        <v>3</v>
      </c>
      <c r="H21" s="152">
        <v>57</v>
      </c>
      <c r="I21" s="148">
        <f>G21+H21</f>
        <v>60</v>
      </c>
      <c r="J21" s="149"/>
      <c r="L21" s="29" t="s">
        <v>67</v>
      </c>
      <c r="M21" s="7">
        <f>M20-M18</f>
        <v>0</v>
      </c>
      <c r="N21" s="14"/>
      <c r="O21" s="47" t="s">
        <v>65</v>
      </c>
      <c r="P21" s="148">
        <v>5</v>
      </c>
      <c r="Q21" s="148">
        <v>0</v>
      </c>
      <c r="R21" s="148">
        <f>P21+Q21</f>
        <v>5</v>
      </c>
      <c r="S21" s="149"/>
      <c r="Y21" s="47" t="s">
        <v>65</v>
      </c>
      <c r="Z21" s="148">
        <v>3</v>
      </c>
      <c r="AA21" s="148">
        <v>57</v>
      </c>
      <c r="AB21" s="148">
        <v>60</v>
      </c>
      <c r="AC21" s="47" t="s">
        <v>65</v>
      </c>
      <c r="AD21" s="30">
        <v>5</v>
      </c>
      <c r="AE21" s="30">
        <v>0</v>
      </c>
      <c r="AF21" s="34">
        <v>5</v>
      </c>
      <c r="AI21" s="46"/>
      <c r="AJ21" s="46"/>
    </row>
    <row r="22" spans="3:36" ht="15.9" customHeight="1" thickBot="1" x14ac:dyDescent="0.35">
      <c r="C22" s="131" t="s">
        <v>159</v>
      </c>
      <c r="D22" s="132">
        <v>1719925.97</v>
      </c>
      <c r="E22" s="14"/>
      <c r="F22" s="48" t="s">
        <v>66</v>
      </c>
      <c r="G22" s="136">
        <f>(G21*6)+Z22</f>
        <v>108</v>
      </c>
      <c r="H22" s="153">
        <f>(H21*6)+AA22</f>
        <v>2316</v>
      </c>
      <c r="I22" s="136">
        <f>G22+H22</f>
        <v>2424</v>
      </c>
      <c r="J22" s="35"/>
      <c r="L22" s="131" t="s">
        <v>159</v>
      </c>
      <c r="M22" s="132">
        <v>122950</v>
      </c>
      <c r="N22" s="14"/>
      <c r="O22" s="48" t="s">
        <v>66</v>
      </c>
      <c r="P22" s="32">
        <f>(P21*6)+AD22</f>
        <v>750</v>
      </c>
      <c r="Q22" s="32">
        <f>(Q21*6)+AE22</f>
        <v>0</v>
      </c>
      <c r="R22" s="32">
        <f>P22+Q22</f>
        <v>750</v>
      </c>
      <c r="S22" s="35"/>
      <c r="Y22" s="48" t="s">
        <v>66</v>
      </c>
      <c r="Z22" s="136">
        <v>90</v>
      </c>
      <c r="AA22" s="136">
        <v>1974</v>
      </c>
      <c r="AB22" s="136">
        <v>2064</v>
      </c>
      <c r="AC22" s="48" t="s">
        <v>66</v>
      </c>
      <c r="AD22" s="32">
        <v>720</v>
      </c>
      <c r="AE22" s="32">
        <v>0</v>
      </c>
      <c r="AF22" s="35">
        <v>720</v>
      </c>
      <c r="AI22" s="46"/>
      <c r="AJ22" s="46"/>
    </row>
    <row r="23" spans="3:36" ht="9.9" customHeight="1" thickBot="1" x14ac:dyDescent="0.35">
      <c r="C23" s="16"/>
      <c r="D23" s="14"/>
      <c r="E23" s="14"/>
      <c r="F23" s="3"/>
      <c r="G23" s="3"/>
      <c r="H23" s="3"/>
      <c r="I23" s="3"/>
      <c r="J23" s="17"/>
      <c r="L23" s="16"/>
      <c r="M23" s="14"/>
      <c r="N23" s="14"/>
      <c r="O23" s="3"/>
      <c r="P23" s="3"/>
      <c r="Q23" s="3"/>
      <c r="R23" s="3"/>
      <c r="S23" s="17"/>
      <c r="AI23" s="46"/>
      <c r="AJ23" s="46"/>
    </row>
    <row r="24" spans="3:36" ht="30" customHeight="1" thickBot="1" x14ac:dyDescent="0.35">
      <c r="C24" s="174" t="s">
        <v>37</v>
      </c>
      <c r="D24" s="175"/>
      <c r="E24" s="2"/>
      <c r="F24" s="164" t="s">
        <v>29</v>
      </c>
      <c r="G24" s="165"/>
      <c r="H24" s="165"/>
      <c r="I24" s="165"/>
      <c r="J24" s="166"/>
      <c r="L24" s="174" t="s">
        <v>37</v>
      </c>
      <c r="M24" s="175"/>
      <c r="N24" s="14"/>
      <c r="O24" s="164" t="s">
        <v>29</v>
      </c>
      <c r="P24" s="165"/>
      <c r="Q24" s="165"/>
      <c r="R24" s="165"/>
      <c r="S24" s="166"/>
      <c r="AI24" s="46"/>
      <c r="AJ24" s="46"/>
    </row>
    <row r="25" spans="3:36" ht="15.9" customHeight="1" x14ac:dyDescent="0.3">
      <c r="C25" s="172" t="s">
        <v>169</v>
      </c>
      <c r="D25" s="173"/>
      <c r="E25" s="18"/>
      <c r="F25" s="187" t="s">
        <v>30</v>
      </c>
      <c r="G25" s="188"/>
      <c r="H25" s="167">
        <f>'Orig Contractual Dates'!C20-'Orig Contractual Dates'!C16</f>
        <v>203</v>
      </c>
      <c r="I25" s="168"/>
      <c r="J25" s="169"/>
      <c r="L25" s="231" t="s">
        <v>143</v>
      </c>
      <c r="M25" s="232"/>
      <c r="N25" s="14"/>
      <c r="O25" s="187" t="s">
        <v>30</v>
      </c>
      <c r="P25" s="188"/>
      <c r="Q25" s="167">
        <f>'Orig Contractual Dates'!F17-'Orig Contractual Dates'!F16</f>
        <v>243</v>
      </c>
      <c r="R25" s="168"/>
      <c r="S25" s="169"/>
      <c r="AI25" s="46"/>
      <c r="AJ25" s="46"/>
    </row>
    <row r="26" spans="3:36" ht="15.9" customHeight="1" x14ac:dyDescent="0.3">
      <c r="C26" s="206" t="s">
        <v>168</v>
      </c>
      <c r="D26" s="207"/>
      <c r="E26" s="18"/>
      <c r="F26" s="185" t="s">
        <v>31</v>
      </c>
      <c r="G26" s="186"/>
      <c r="H26" s="176">
        <f>T2-'Orig Contractual Dates'!C16</f>
        <v>211</v>
      </c>
      <c r="I26" s="177"/>
      <c r="J26" s="178"/>
      <c r="L26" s="233" t="s">
        <v>148</v>
      </c>
      <c r="M26" s="234"/>
      <c r="N26" s="14"/>
      <c r="O26" s="185" t="s">
        <v>31</v>
      </c>
      <c r="P26" s="186"/>
      <c r="Q26" s="176">
        <f>T2-'Orig Contractual Dates'!F16</f>
        <v>201</v>
      </c>
      <c r="R26" s="177"/>
      <c r="S26" s="178"/>
      <c r="Y26" s="21"/>
      <c r="AI26" s="46"/>
      <c r="AJ26" s="46"/>
    </row>
    <row r="27" spans="3:36" ht="15.9" customHeight="1" x14ac:dyDescent="0.3">
      <c r="C27" s="170" t="s">
        <v>137</v>
      </c>
      <c r="D27" s="171"/>
      <c r="E27" s="18"/>
      <c r="F27" s="185" t="s">
        <v>32</v>
      </c>
      <c r="G27" s="186"/>
      <c r="H27" s="176">
        <f>H25-H26</f>
        <v>-8</v>
      </c>
      <c r="I27" s="177"/>
      <c r="J27" s="178"/>
      <c r="L27" s="233" t="s">
        <v>149</v>
      </c>
      <c r="M27" s="234"/>
      <c r="N27" s="14"/>
      <c r="O27" s="185" t="s">
        <v>32</v>
      </c>
      <c r="P27" s="186"/>
      <c r="Q27" s="176">
        <f>Q25-Q26</f>
        <v>42</v>
      </c>
      <c r="R27" s="177"/>
      <c r="S27" s="178"/>
      <c r="AI27" s="46"/>
      <c r="AJ27" s="46"/>
    </row>
    <row r="28" spans="3:36" ht="15.9" customHeight="1" x14ac:dyDescent="0.3">
      <c r="C28" s="170" t="s">
        <v>138</v>
      </c>
      <c r="D28" s="171"/>
      <c r="E28" s="18"/>
      <c r="F28" s="185" t="s">
        <v>36</v>
      </c>
      <c r="G28" s="186"/>
      <c r="H28" s="179" t="str">
        <f>IF(H26&gt;H25,"100%",H26/H25)</f>
        <v>100%</v>
      </c>
      <c r="I28" s="180"/>
      <c r="J28" s="181"/>
      <c r="L28" s="233" t="s">
        <v>150</v>
      </c>
      <c r="M28" s="234"/>
      <c r="N28" s="14"/>
      <c r="O28" s="185" t="s">
        <v>36</v>
      </c>
      <c r="P28" s="186"/>
      <c r="Q28" s="179">
        <f>IF(Q26&gt;Q25,"100%",Q26/Q25)</f>
        <v>0.8271604938271605</v>
      </c>
      <c r="R28" s="180"/>
      <c r="S28" s="181"/>
      <c r="AI28" s="46"/>
      <c r="AJ28" s="46"/>
    </row>
    <row r="29" spans="3:36" ht="15.9" customHeight="1" x14ac:dyDescent="0.3">
      <c r="C29" s="170" t="s">
        <v>139</v>
      </c>
      <c r="D29" s="171"/>
      <c r="E29" s="18"/>
      <c r="F29" s="185" t="s">
        <v>33</v>
      </c>
      <c r="G29" s="186"/>
      <c r="H29" s="182">
        <v>2217881.5</v>
      </c>
      <c r="I29" s="183"/>
      <c r="J29" s="184"/>
      <c r="L29" s="233" t="s">
        <v>151</v>
      </c>
      <c r="M29" s="234"/>
      <c r="N29" s="14"/>
      <c r="O29" s="185" t="s">
        <v>33</v>
      </c>
      <c r="P29" s="186"/>
      <c r="Q29" s="182">
        <v>0</v>
      </c>
      <c r="R29" s="183"/>
      <c r="S29" s="184"/>
      <c r="AI29" s="46"/>
      <c r="AJ29" s="46"/>
    </row>
    <row r="30" spans="3:36" ht="15.9" customHeight="1" x14ac:dyDescent="0.3">
      <c r="C30" s="170" t="s">
        <v>140</v>
      </c>
      <c r="D30" s="171"/>
      <c r="E30" s="18"/>
      <c r="F30" s="185" t="s">
        <v>34</v>
      </c>
      <c r="G30" s="186"/>
      <c r="H30" s="182">
        <f>D12-H29</f>
        <v>4756346.5</v>
      </c>
      <c r="I30" s="183"/>
      <c r="J30" s="184"/>
      <c r="L30" s="233" t="s">
        <v>156</v>
      </c>
      <c r="M30" s="234"/>
      <c r="N30" s="14"/>
      <c r="O30" s="185" t="s">
        <v>34</v>
      </c>
      <c r="P30" s="186"/>
      <c r="Q30" s="182">
        <f>M12-Q29</f>
        <v>1282205</v>
      </c>
      <c r="R30" s="183"/>
      <c r="S30" s="184"/>
      <c r="AI30" s="46"/>
      <c r="AJ30" s="46"/>
    </row>
    <row r="31" spans="3:36" ht="15.9" customHeight="1" thickBot="1" x14ac:dyDescent="0.35">
      <c r="C31" s="192" t="s">
        <v>141</v>
      </c>
      <c r="D31" s="193"/>
      <c r="E31" s="19"/>
      <c r="F31" s="194" t="s">
        <v>35</v>
      </c>
      <c r="G31" s="195"/>
      <c r="H31" s="196">
        <f>H29/D12</f>
        <v>0.31801104007497316</v>
      </c>
      <c r="I31" s="197"/>
      <c r="J31" s="198"/>
      <c r="L31" s="192"/>
      <c r="M31" s="193"/>
      <c r="N31" s="14"/>
      <c r="O31" s="194" t="s">
        <v>35</v>
      </c>
      <c r="P31" s="195"/>
      <c r="Q31" s="196">
        <f>Q29/M12</f>
        <v>0</v>
      </c>
      <c r="R31" s="197"/>
      <c r="S31" s="198"/>
      <c r="AI31" s="46"/>
      <c r="AJ31" s="46"/>
    </row>
    <row r="32" spans="3:36" ht="14.4" thickTop="1" x14ac:dyDescent="0.3">
      <c r="N32" s="14"/>
      <c r="AI32" s="46"/>
      <c r="AJ32" s="46"/>
    </row>
    <row r="33" spans="3:36" ht="30" hidden="1" customHeight="1" thickTop="1" thickBot="1" x14ac:dyDescent="0.35">
      <c r="C33" s="162" t="s">
        <v>0</v>
      </c>
      <c r="D33" s="163"/>
      <c r="E33" s="10"/>
      <c r="F33" s="189" t="s">
        <v>15</v>
      </c>
      <c r="G33" s="190"/>
      <c r="H33" s="190"/>
      <c r="I33" s="190"/>
      <c r="J33" s="191"/>
      <c r="L33" s="162" t="s">
        <v>0</v>
      </c>
      <c r="M33" s="163"/>
      <c r="N33" s="14"/>
      <c r="O33" s="189" t="s">
        <v>15</v>
      </c>
      <c r="P33" s="190"/>
      <c r="Q33" s="190"/>
      <c r="R33" s="190"/>
      <c r="S33" s="191"/>
      <c r="AI33" s="46"/>
      <c r="AJ33" s="46"/>
    </row>
    <row r="34" spans="3:36" ht="15.9" hidden="1" customHeight="1" x14ac:dyDescent="0.3">
      <c r="C34" s="120" t="s">
        <v>1</v>
      </c>
      <c r="D34" s="5"/>
      <c r="E34" s="3"/>
      <c r="F34" s="158" t="s">
        <v>24</v>
      </c>
      <c r="G34" s="159"/>
      <c r="H34" s="159"/>
      <c r="I34" s="160"/>
      <c r="J34" s="161"/>
      <c r="L34" s="11" t="s">
        <v>1</v>
      </c>
      <c r="M34" s="5"/>
      <c r="N34" s="14"/>
      <c r="O34" s="158" t="s">
        <v>24</v>
      </c>
      <c r="P34" s="159"/>
      <c r="Q34" s="159"/>
      <c r="R34" s="160"/>
      <c r="S34" s="161"/>
      <c r="AI34" s="46"/>
      <c r="AJ34" s="46"/>
    </row>
    <row r="35" spans="3:36" ht="15.9" hidden="1" customHeight="1" thickBot="1" x14ac:dyDescent="0.35">
      <c r="C35" s="121" t="s">
        <v>49</v>
      </c>
      <c r="D35" s="26"/>
      <c r="E35" s="3"/>
      <c r="F35" s="49" t="s">
        <v>28</v>
      </c>
      <c r="G35" s="50" t="s">
        <v>21</v>
      </c>
      <c r="H35" s="50" t="s">
        <v>22</v>
      </c>
      <c r="I35" s="50" t="s">
        <v>23</v>
      </c>
      <c r="J35" s="12" t="s">
        <v>123</v>
      </c>
      <c r="L35" s="22" t="s">
        <v>49</v>
      </c>
      <c r="M35" s="26"/>
      <c r="N35" s="14"/>
      <c r="O35" s="49" t="s">
        <v>28</v>
      </c>
      <c r="P35" s="50" t="s">
        <v>21</v>
      </c>
      <c r="Q35" s="50" t="s">
        <v>22</v>
      </c>
      <c r="R35" s="50" t="s">
        <v>23</v>
      </c>
      <c r="S35" s="12" t="s">
        <v>123</v>
      </c>
      <c r="AI35" s="46"/>
      <c r="AJ35" s="46"/>
    </row>
    <row r="36" spans="3:36" ht="15.9" hidden="1" customHeight="1" x14ac:dyDescent="0.3">
      <c r="C36" s="121" t="s">
        <v>4</v>
      </c>
      <c r="D36" s="26"/>
      <c r="E36" s="3"/>
      <c r="F36" s="47" t="s">
        <v>16</v>
      </c>
      <c r="G36" s="27"/>
      <c r="H36" s="27"/>
      <c r="I36" s="27"/>
      <c r="J36" s="23"/>
      <c r="L36" s="22" t="s">
        <v>4</v>
      </c>
      <c r="M36" s="26"/>
      <c r="N36" s="14"/>
      <c r="O36" s="47" t="s">
        <v>16</v>
      </c>
      <c r="P36" s="27"/>
      <c r="Q36" s="27"/>
      <c r="R36" s="27"/>
      <c r="S36" s="23"/>
      <c r="AI36" s="46"/>
      <c r="AJ36" s="46"/>
    </row>
    <row r="37" spans="3:36" ht="15.9" hidden="1" customHeight="1" x14ac:dyDescent="0.3">
      <c r="C37" s="121" t="s">
        <v>6</v>
      </c>
      <c r="D37" s="26"/>
      <c r="E37" s="3"/>
      <c r="F37" s="6" t="s">
        <v>17</v>
      </c>
      <c r="G37" s="28"/>
      <c r="H37" s="28"/>
      <c r="I37" s="28"/>
      <c r="J37" s="24"/>
      <c r="L37" s="22" t="s">
        <v>6</v>
      </c>
      <c r="M37" s="26"/>
      <c r="N37" s="14"/>
      <c r="O37" s="6" t="s">
        <v>17</v>
      </c>
      <c r="P37" s="28"/>
      <c r="Q37" s="28"/>
      <c r="R37" s="28"/>
      <c r="S37" s="24"/>
      <c r="AI37" s="46"/>
      <c r="AJ37" s="46"/>
    </row>
    <row r="38" spans="3:36" ht="15.9" hidden="1" customHeight="1" x14ac:dyDescent="0.3">
      <c r="C38" s="121" t="s">
        <v>8</v>
      </c>
      <c r="D38" s="26"/>
      <c r="E38" s="3"/>
      <c r="F38" s="6" t="s">
        <v>18</v>
      </c>
      <c r="G38" s="28"/>
      <c r="H38" s="28"/>
      <c r="I38" s="28"/>
      <c r="J38" s="24"/>
      <c r="L38" s="22" t="s">
        <v>8</v>
      </c>
      <c r="M38" s="26"/>
      <c r="N38" s="14"/>
      <c r="O38" s="6" t="s">
        <v>18</v>
      </c>
      <c r="P38" s="28"/>
      <c r="Q38" s="28"/>
      <c r="R38" s="28"/>
      <c r="S38" s="24"/>
      <c r="AI38" s="46"/>
      <c r="AJ38" s="46"/>
    </row>
    <row r="39" spans="3:36" ht="15.9" hidden="1" customHeight="1" x14ac:dyDescent="0.3">
      <c r="C39" s="128" t="s">
        <v>10</v>
      </c>
      <c r="D39" s="129"/>
      <c r="E39" s="3"/>
      <c r="F39" s="6" t="s">
        <v>19</v>
      </c>
      <c r="G39" s="28"/>
      <c r="H39" s="28"/>
      <c r="I39" s="28"/>
      <c r="J39" s="24"/>
      <c r="L39" s="128" t="s">
        <v>10</v>
      </c>
      <c r="M39" s="129"/>
      <c r="N39" s="14"/>
      <c r="O39" s="6" t="s">
        <v>19</v>
      </c>
      <c r="P39" s="28"/>
      <c r="Q39" s="28"/>
      <c r="R39" s="28"/>
      <c r="S39" s="24"/>
      <c r="AI39" s="46"/>
      <c r="AJ39" s="46"/>
    </row>
    <row r="40" spans="3:36" ht="15.9" hidden="1" customHeight="1" thickBot="1" x14ac:dyDescent="0.35">
      <c r="C40" s="128" t="s">
        <v>26</v>
      </c>
      <c r="D40" s="129"/>
      <c r="E40" s="3"/>
      <c r="F40" s="20" t="s">
        <v>20</v>
      </c>
      <c r="G40" s="51"/>
      <c r="H40" s="51"/>
      <c r="I40" s="51"/>
      <c r="J40" s="25"/>
      <c r="L40" s="128" t="s">
        <v>26</v>
      </c>
      <c r="M40" s="129"/>
      <c r="N40" s="14"/>
      <c r="O40" s="20" t="s">
        <v>20</v>
      </c>
      <c r="P40" s="51"/>
      <c r="Q40" s="51"/>
      <c r="R40" s="51"/>
      <c r="S40" s="25"/>
      <c r="AI40" s="46"/>
      <c r="AJ40" s="46"/>
    </row>
    <row r="41" spans="3:36" ht="15.9" hidden="1" customHeight="1" x14ac:dyDescent="0.3">
      <c r="C41" s="128" t="s">
        <v>27</v>
      </c>
      <c r="D41" s="129"/>
      <c r="E41" s="13"/>
      <c r="F41" s="158" t="s">
        <v>25</v>
      </c>
      <c r="G41" s="159"/>
      <c r="H41" s="159"/>
      <c r="I41" s="160"/>
      <c r="J41" s="161"/>
      <c r="L41" s="128" t="s">
        <v>27</v>
      </c>
      <c r="M41" s="129"/>
      <c r="N41" s="14"/>
      <c r="O41" s="158" t="s">
        <v>25</v>
      </c>
      <c r="P41" s="159"/>
      <c r="Q41" s="159"/>
      <c r="R41" s="160"/>
      <c r="S41" s="161"/>
      <c r="AI41" s="46"/>
      <c r="AJ41" s="46"/>
    </row>
    <row r="42" spans="3:36" ht="15.9" hidden="1" customHeight="1" thickBot="1" x14ac:dyDescent="0.35">
      <c r="C42" s="128" t="s">
        <v>122</v>
      </c>
      <c r="D42" s="129"/>
      <c r="E42" s="13"/>
      <c r="F42" s="49" t="s">
        <v>28</v>
      </c>
      <c r="G42" s="50" t="s">
        <v>21</v>
      </c>
      <c r="H42" s="50" t="s">
        <v>22</v>
      </c>
      <c r="I42" s="50" t="s">
        <v>23</v>
      </c>
      <c r="J42" s="12" t="s">
        <v>123</v>
      </c>
      <c r="L42" s="128" t="s">
        <v>122</v>
      </c>
      <c r="M42" s="129"/>
      <c r="N42" s="14"/>
      <c r="O42" s="49" t="s">
        <v>28</v>
      </c>
      <c r="P42" s="50" t="s">
        <v>21</v>
      </c>
      <c r="Q42" s="50" t="s">
        <v>22</v>
      </c>
      <c r="R42" s="50" t="s">
        <v>23</v>
      </c>
      <c r="S42" s="12" t="s">
        <v>123</v>
      </c>
      <c r="AI42" s="46"/>
      <c r="AJ42" s="46"/>
    </row>
    <row r="43" spans="3:36" ht="15.9" hidden="1" customHeight="1" x14ac:dyDescent="0.3">
      <c r="C43" s="128" t="s">
        <v>58</v>
      </c>
      <c r="D43" s="129"/>
      <c r="E43" s="13"/>
      <c r="F43" s="47" t="s">
        <v>16</v>
      </c>
      <c r="G43" s="28"/>
      <c r="H43" s="28"/>
      <c r="I43" s="27"/>
      <c r="J43" s="23"/>
      <c r="L43" s="128" t="s">
        <v>58</v>
      </c>
      <c r="M43" s="129"/>
      <c r="N43" s="14"/>
      <c r="O43" s="47" t="s">
        <v>16</v>
      </c>
      <c r="P43" s="28"/>
      <c r="Q43" s="28"/>
      <c r="R43" s="27"/>
      <c r="S43" s="23"/>
      <c r="AI43" s="46"/>
      <c r="AJ43" s="46"/>
    </row>
    <row r="44" spans="3:36" ht="15.9" hidden="1" customHeight="1" x14ac:dyDescent="0.3">
      <c r="C44" s="128" t="s">
        <v>59</v>
      </c>
      <c r="D44" s="130"/>
      <c r="E44" s="13"/>
      <c r="F44" s="6" t="s">
        <v>17</v>
      </c>
      <c r="G44" s="28"/>
      <c r="H44" s="28"/>
      <c r="I44" s="28"/>
      <c r="J44" s="24"/>
      <c r="L44" s="128" t="s">
        <v>59</v>
      </c>
      <c r="M44" s="130"/>
      <c r="N44" s="14"/>
      <c r="O44" s="6" t="s">
        <v>17</v>
      </c>
      <c r="P44" s="28"/>
      <c r="Q44" s="28"/>
      <c r="R44" s="28"/>
      <c r="S44" s="24"/>
      <c r="AI44" s="46"/>
      <c r="AJ44" s="46"/>
    </row>
    <row r="45" spans="3:36" ht="15.9" hidden="1" customHeight="1" x14ac:dyDescent="0.3">
      <c r="C45" s="121" t="s">
        <v>11</v>
      </c>
      <c r="D45" s="33"/>
      <c r="E45" s="13"/>
      <c r="F45" s="6" t="s">
        <v>18</v>
      </c>
      <c r="G45" s="28"/>
      <c r="H45" s="28"/>
      <c r="I45" s="28"/>
      <c r="J45" s="24"/>
      <c r="L45" s="22" t="s">
        <v>11</v>
      </c>
      <c r="M45" s="33"/>
      <c r="N45" s="14"/>
      <c r="O45" s="6" t="s">
        <v>18</v>
      </c>
      <c r="P45" s="28"/>
      <c r="Q45" s="28"/>
      <c r="R45" s="28"/>
      <c r="S45" s="24"/>
      <c r="AI45" s="46"/>
      <c r="AJ45" s="46"/>
    </row>
    <row r="46" spans="3:36" ht="15.9" hidden="1" customHeight="1" x14ac:dyDescent="0.3">
      <c r="C46" s="121" t="s">
        <v>12</v>
      </c>
      <c r="D46" s="7"/>
      <c r="E46" s="13"/>
      <c r="F46" s="6" t="s">
        <v>19</v>
      </c>
      <c r="G46" s="28"/>
      <c r="H46" s="28"/>
      <c r="I46" s="28"/>
      <c r="J46" s="24"/>
      <c r="L46" s="22" t="s">
        <v>12</v>
      </c>
      <c r="M46" s="7"/>
      <c r="N46" s="14"/>
      <c r="O46" s="6" t="s">
        <v>19</v>
      </c>
      <c r="P46" s="28"/>
      <c r="Q46" s="28"/>
      <c r="R46" s="28"/>
      <c r="S46" s="24"/>
      <c r="AI46" s="46"/>
      <c r="AJ46" s="46"/>
    </row>
    <row r="47" spans="3:36" ht="15.9" hidden="1" customHeight="1" thickBot="1" x14ac:dyDescent="0.35">
      <c r="C47" s="121" t="s">
        <v>13</v>
      </c>
      <c r="D47" s="33"/>
      <c r="E47" s="14"/>
      <c r="F47" s="20" t="s">
        <v>20</v>
      </c>
      <c r="G47" s="51"/>
      <c r="H47" s="51"/>
      <c r="I47" s="51"/>
      <c r="J47" s="25"/>
      <c r="L47" s="22" t="s">
        <v>13</v>
      </c>
      <c r="M47" s="33"/>
      <c r="N47" s="14"/>
      <c r="O47" s="20" t="s">
        <v>20</v>
      </c>
      <c r="P47" s="51"/>
      <c r="Q47" s="51"/>
      <c r="R47" s="51"/>
      <c r="S47" s="25"/>
      <c r="Y47" s="46" t="s">
        <v>75</v>
      </c>
      <c r="Z47" s="46"/>
      <c r="AB47" s="46" t="s">
        <v>98</v>
      </c>
      <c r="AF47" s="46" t="s">
        <v>99</v>
      </c>
      <c r="AI47" s="46"/>
      <c r="AJ47" s="46"/>
    </row>
    <row r="48" spans="3:36" ht="15.9" hidden="1" customHeight="1" x14ac:dyDescent="0.3">
      <c r="C48" s="22" t="s">
        <v>121</v>
      </c>
      <c r="D48" s="33"/>
      <c r="E48" s="15"/>
      <c r="F48" s="158" t="s">
        <v>64</v>
      </c>
      <c r="G48" s="159"/>
      <c r="H48" s="159"/>
      <c r="I48" s="160"/>
      <c r="J48" s="161"/>
      <c r="L48" s="22" t="s">
        <v>121</v>
      </c>
      <c r="M48" s="33"/>
      <c r="N48" s="14"/>
      <c r="O48" s="158" t="s">
        <v>64</v>
      </c>
      <c r="P48" s="159"/>
      <c r="Q48" s="159"/>
      <c r="R48" s="160"/>
      <c r="S48" s="161"/>
      <c r="Y48" s="127" t="s">
        <v>64</v>
      </c>
      <c r="Z48" s="134"/>
      <c r="AA48" s="134"/>
      <c r="AB48" s="135"/>
      <c r="AC48" s="133" t="s">
        <v>64</v>
      </c>
      <c r="AD48" s="134"/>
      <c r="AE48" s="134"/>
      <c r="AF48" s="135"/>
      <c r="AI48" s="46"/>
      <c r="AJ48" s="46"/>
    </row>
    <row r="49" spans="3:36" ht="15.9" hidden="1" customHeight="1" thickBot="1" x14ac:dyDescent="0.35">
      <c r="C49" s="22" t="s">
        <v>14</v>
      </c>
      <c r="D49" s="33"/>
      <c r="E49" s="14"/>
      <c r="F49" s="49" t="s">
        <v>60</v>
      </c>
      <c r="G49" s="50" t="s">
        <v>62</v>
      </c>
      <c r="H49" s="50" t="s">
        <v>61</v>
      </c>
      <c r="I49" s="50" t="s">
        <v>63</v>
      </c>
      <c r="J49" s="12"/>
      <c r="L49" s="22" t="s">
        <v>14</v>
      </c>
      <c r="M49" s="33"/>
      <c r="N49" s="14"/>
      <c r="O49" s="49" t="s">
        <v>60</v>
      </c>
      <c r="P49" s="50" t="s">
        <v>62</v>
      </c>
      <c r="Q49" s="50" t="s">
        <v>61</v>
      </c>
      <c r="R49" s="50" t="s">
        <v>63</v>
      </c>
      <c r="S49" s="12"/>
      <c r="Y49" s="49" t="s">
        <v>60</v>
      </c>
      <c r="Z49" s="50" t="s">
        <v>62</v>
      </c>
      <c r="AA49" s="50" t="s">
        <v>61</v>
      </c>
      <c r="AB49" s="12" t="s">
        <v>63</v>
      </c>
      <c r="AC49" s="49" t="s">
        <v>60</v>
      </c>
      <c r="AD49" s="50" t="s">
        <v>62</v>
      </c>
      <c r="AE49" s="50" t="s">
        <v>61</v>
      </c>
      <c r="AF49" s="12" t="s">
        <v>63</v>
      </c>
      <c r="AI49" s="46"/>
      <c r="AJ49" s="46"/>
    </row>
    <row r="50" spans="3:36" ht="15.9" hidden="1" customHeight="1" x14ac:dyDescent="0.3">
      <c r="C50" s="122" t="s">
        <v>67</v>
      </c>
      <c r="D50" s="7"/>
      <c r="E50" s="14"/>
      <c r="F50" s="47" t="s">
        <v>65</v>
      </c>
      <c r="G50" s="126"/>
      <c r="H50" s="126"/>
      <c r="I50" s="126"/>
      <c r="J50" s="34"/>
      <c r="L50" s="29" t="s">
        <v>67</v>
      </c>
      <c r="M50" s="7"/>
      <c r="N50" s="14"/>
      <c r="O50" s="47" t="s">
        <v>65</v>
      </c>
      <c r="P50" s="126"/>
      <c r="Q50" s="126"/>
      <c r="R50" s="126"/>
      <c r="S50" s="34"/>
      <c r="Y50" s="47" t="s">
        <v>65</v>
      </c>
      <c r="Z50" s="30">
        <v>4</v>
      </c>
      <c r="AA50" s="30">
        <v>81</v>
      </c>
      <c r="AB50" s="34">
        <v>85</v>
      </c>
      <c r="AC50" s="47" t="s">
        <v>65</v>
      </c>
      <c r="AD50" s="30">
        <v>28</v>
      </c>
      <c r="AE50" s="30">
        <v>98</v>
      </c>
      <c r="AF50" s="34">
        <v>126</v>
      </c>
      <c r="AI50" s="46"/>
      <c r="AJ50" s="46"/>
    </row>
    <row r="51" spans="3:36" ht="15.9" hidden="1" customHeight="1" thickBot="1" x14ac:dyDescent="0.35">
      <c r="C51" s="131" t="s">
        <v>124</v>
      </c>
      <c r="D51" s="132"/>
      <c r="E51" s="14"/>
      <c r="F51" s="48" t="s">
        <v>66</v>
      </c>
      <c r="G51" s="32"/>
      <c r="H51" s="32"/>
      <c r="I51" s="32"/>
      <c r="J51" s="35"/>
      <c r="L51" s="131" t="s">
        <v>124</v>
      </c>
      <c r="M51" s="132"/>
      <c r="N51" s="14"/>
      <c r="O51" s="48" t="s">
        <v>66</v>
      </c>
      <c r="P51" s="32"/>
      <c r="Q51" s="32"/>
      <c r="R51" s="32"/>
      <c r="S51" s="35"/>
      <c r="Y51" s="48" t="s">
        <v>66</v>
      </c>
      <c r="Z51" s="32">
        <v>672</v>
      </c>
      <c r="AA51" s="32">
        <v>14166</v>
      </c>
      <c r="AB51" s="35">
        <v>14838</v>
      </c>
      <c r="AC51" s="48" t="s">
        <v>66</v>
      </c>
      <c r="AD51" s="32">
        <v>2814</v>
      </c>
      <c r="AE51" s="32">
        <v>4362</v>
      </c>
      <c r="AF51" s="35">
        <v>7176</v>
      </c>
      <c r="AI51" s="46"/>
      <c r="AJ51" s="46"/>
    </row>
    <row r="52" spans="3:36" ht="9.9" hidden="1" customHeight="1" thickBot="1" x14ac:dyDescent="0.35">
      <c r="C52" s="16"/>
      <c r="D52" s="14"/>
      <c r="E52" s="14"/>
      <c r="F52" s="3"/>
      <c r="G52" s="3"/>
      <c r="H52" s="3"/>
      <c r="I52" s="3"/>
      <c r="J52" s="17"/>
      <c r="L52" s="16"/>
      <c r="M52" s="14"/>
      <c r="N52" s="14"/>
      <c r="O52" s="3"/>
      <c r="P52" s="3"/>
      <c r="Q52" s="3"/>
      <c r="R52" s="3"/>
      <c r="S52" s="17"/>
      <c r="AI52" s="46"/>
      <c r="AJ52" s="46"/>
    </row>
    <row r="53" spans="3:36" ht="30" hidden="1" customHeight="1" thickBot="1" x14ac:dyDescent="0.35">
      <c r="C53" s="174" t="s">
        <v>37</v>
      </c>
      <c r="D53" s="175"/>
      <c r="E53" s="2"/>
      <c r="F53" s="164" t="s">
        <v>29</v>
      </c>
      <c r="G53" s="165"/>
      <c r="H53" s="165"/>
      <c r="I53" s="165"/>
      <c r="J53" s="166"/>
      <c r="L53" s="174" t="s">
        <v>37</v>
      </c>
      <c r="M53" s="175"/>
      <c r="N53" s="14"/>
      <c r="O53" s="164" t="s">
        <v>29</v>
      </c>
      <c r="P53" s="165"/>
      <c r="Q53" s="165"/>
      <c r="R53" s="165"/>
      <c r="S53" s="166"/>
      <c r="Z53" s="46"/>
      <c r="AI53" s="46"/>
      <c r="AJ53" s="46"/>
    </row>
    <row r="54" spans="3:36" ht="15.9" hidden="1" customHeight="1" x14ac:dyDescent="0.3">
      <c r="C54" s="172"/>
      <c r="D54" s="173"/>
      <c r="E54" s="18"/>
      <c r="F54" s="187" t="s">
        <v>30</v>
      </c>
      <c r="G54" s="188"/>
      <c r="H54" s="167"/>
      <c r="I54" s="168"/>
      <c r="J54" s="169"/>
      <c r="L54" s="172"/>
      <c r="M54" s="173"/>
      <c r="N54" s="14"/>
      <c r="O54" s="187" t="s">
        <v>30</v>
      </c>
      <c r="P54" s="188"/>
      <c r="Q54" s="167"/>
      <c r="R54" s="168"/>
      <c r="S54" s="169"/>
      <c r="Z54" s="46"/>
      <c r="AI54" s="46"/>
      <c r="AJ54" s="46"/>
    </row>
    <row r="55" spans="3:36" ht="15.9" hidden="1" customHeight="1" x14ac:dyDescent="0.3">
      <c r="C55" s="170"/>
      <c r="D55" s="171"/>
      <c r="E55" s="18"/>
      <c r="F55" s="185" t="s">
        <v>31</v>
      </c>
      <c r="G55" s="186"/>
      <c r="H55" s="176"/>
      <c r="I55" s="177"/>
      <c r="J55" s="178"/>
      <c r="L55" s="170"/>
      <c r="M55" s="171"/>
      <c r="N55" s="14"/>
      <c r="O55" s="185" t="s">
        <v>31</v>
      </c>
      <c r="P55" s="186"/>
      <c r="Q55" s="176"/>
      <c r="R55" s="177"/>
      <c r="S55" s="178"/>
      <c r="Z55" s="46"/>
      <c r="AI55" s="46"/>
      <c r="AJ55" s="46"/>
    </row>
    <row r="56" spans="3:36" ht="15.9" hidden="1" customHeight="1" x14ac:dyDescent="0.3">
      <c r="C56" s="170"/>
      <c r="D56" s="171"/>
      <c r="E56" s="18"/>
      <c r="F56" s="185" t="s">
        <v>32</v>
      </c>
      <c r="G56" s="186"/>
      <c r="H56" s="176"/>
      <c r="I56" s="177"/>
      <c r="J56" s="178"/>
      <c r="L56" s="170"/>
      <c r="M56" s="171"/>
      <c r="N56" s="14"/>
      <c r="O56" s="185" t="s">
        <v>32</v>
      </c>
      <c r="P56" s="186"/>
      <c r="Q56" s="176"/>
      <c r="R56" s="177"/>
      <c r="S56" s="178"/>
      <c r="Z56" s="46"/>
      <c r="AI56" s="46"/>
      <c r="AJ56" s="46"/>
    </row>
    <row r="57" spans="3:36" ht="15.9" hidden="1" customHeight="1" x14ac:dyDescent="0.3">
      <c r="C57" s="170"/>
      <c r="D57" s="171"/>
      <c r="E57" s="18"/>
      <c r="F57" s="185" t="s">
        <v>36</v>
      </c>
      <c r="G57" s="186"/>
      <c r="H57" s="179"/>
      <c r="I57" s="180"/>
      <c r="J57" s="181"/>
      <c r="L57" s="170"/>
      <c r="M57" s="171"/>
      <c r="N57" s="14"/>
      <c r="O57" s="185" t="s">
        <v>36</v>
      </c>
      <c r="P57" s="186"/>
      <c r="Q57" s="179"/>
      <c r="R57" s="180"/>
      <c r="S57" s="181"/>
      <c r="Z57" s="46"/>
      <c r="AI57" s="46"/>
      <c r="AJ57" s="46"/>
    </row>
    <row r="58" spans="3:36" ht="15.9" hidden="1" customHeight="1" x14ac:dyDescent="0.3">
      <c r="C58" s="170"/>
      <c r="D58" s="171"/>
      <c r="E58" s="18"/>
      <c r="F58" s="185" t="s">
        <v>33</v>
      </c>
      <c r="G58" s="186"/>
      <c r="H58" s="182"/>
      <c r="I58" s="183"/>
      <c r="J58" s="184"/>
      <c r="L58" s="170"/>
      <c r="M58" s="171"/>
      <c r="N58" s="14"/>
      <c r="O58" s="185" t="s">
        <v>33</v>
      </c>
      <c r="P58" s="186"/>
      <c r="Q58" s="182"/>
      <c r="R58" s="183"/>
      <c r="S58" s="184"/>
      <c r="Z58" s="46"/>
      <c r="AI58" s="46"/>
      <c r="AJ58" s="46"/>
    </row>
    <row r="59" spans="3:36" ht="15.9" hidden="1" customHeight="1" x14ac:dyDescent="0.3">
      <c r="C59" s="170"/>
      <c r="D59" s="171"/>
      <c r="E59" s="18"/>
      <c r="F59" s="185" t="s">
        <v>34</v>
      </c>
      <c r="G59" s="186"/>
      <c r="H59" s="182"/>
      <c r="I59" s="183"/>
      <c r="J59" s="184"/>
      <c r="L59" s="170"/>
      <c r="M59" s="171"/>
      <c r="N59" s="14"/>
      <c r="O59" s="185" t="s">
        <v>34</v>
      </c>
      <c r="P59" s="186"/>
      <c r="Q59" s="182"/>
      <c r="R59" s="183"/>
      <c r="S59" s="184"/>
      <c r="Z59" s="46"/>
      <c r="AI59" s="46"/>
      <c r="AJ59" s="46"/>
    </row>
    <row r="60" spans="3:36" ht="15.9" hidden="1" customHeight="1" thickBot="1" x14ac:dyDescent="0.35">
      <c r="C60" s="192"/>
      <c r="D60" s="193"/>
      <c r="E60" s="19"/>
      <c r="F60" s="194" t="s">
        <v>35</v>
      </c>
      <c r="G60" s="195"/>
      <c r="H60" s="196"/>
      <c r="I60" s="197"/>
      <c r="J60" s="198"/>
      <c r="L60" s="192"/>
      <c r="M60" s="193"/>
      <c r="N60" s="14"/>
      <c r="O60" s="194" t="s">
        <v>35</v>
      </c>
      <c r="P60" s="195"/>
      <c r="Q60" s="196"/>
      <c r="R60" s="197"/>
      <c r="S60" s="198"/>
      <c r="Z60" s="46"/>
      <c r="AI60" s="46"/>
      <c r="AJ60" s="46"/>
    </row>
    <row r="61" spans="3:36" ht="9.9" customHeight="1" x14ac:dyDescent="0.3">
      <c r="N61" s="14"/>
      <c r="Z61" s="46"/>
      <c r="AI61" s="46"/>
      <c r="AJ61" s="46"/>
    </row>
    <row r="62" spans="3:36" x14ac:dyDescent="0.3">
      <c r="H62" s="73"/>
      <c r="N62" s="14"/>
      <c r="Z62" s="46"/>
      <c r="AI62" s="46"/>
      <c r="AJ62" s="46"/>
    </row>
    <row r="63" spans="3:36" x14ac:dyDescent="0.3">
      <c r="I63" s="73"/>
      <c r="N63" s="14"/>
      <c r="Q63" s="73"/>
      <c r="R63" s="156"/>
      <c r="AI63" s="46"/>
      <c r="AJ63" s="46"/>
    </row>
    <row r="64" spans="3:36" x14ac:dyDescent="0.3">
      <c r="G64" s="73"/>
      <c r="I64" s="156"/>
      <c r="J64" s="156"/>
      <c r="L64" s="156"/>
      <c r="N64" s="14"/>
      <c r="Q64" s="73"/>
      <c r="R64" s="156"/>
      <c r="AI64" s="46"/>
      <c r="AJ64" s="46"/>
    </row>
    <row r="65" spans="7:36" x14ac:dyDescent="0.3">
      <c r="G65" s="73"/>
      <c r="I65" s="156"/>
      <c r="J65" s="156"/>
      <c r="L65" s="156"/>
      <c r="Q65" s="73"/>
      <c r="R65" s="156"/>
      <c r="AI65" s="46"/>
      <c r="AJ65" s="46"/>
    </row>
    <row r="66" spans="7:36" x14ac:dyDescent="0.3">
      <c r="G66" s="73"/>
      <c r="I66" s="156"/>
      <c r="J66" s="156"/>
      <c r="L66" s="156"/>
      <c r="Q66" s="73"/>
      <c r="R66" s="156"/>
      <c r="AI66" s="46"/>
      <c r="AJ66" s="46"/>
    </row>
    <row r="67" spans="7:36" x14ac:dyDescent="0.3">
      <c r="G67" s="73"/>
      <c r="I67" s="156"/>
      <c r="J67" s="156"/>
      <c r="L67" s="156"/>
      <c r="Q67" s="157"/>
      <c r="R67" s="156"/>
    </row>
    <row r="68" spans="7:36" x14ac:dyDescent="0.3">
      <c r="G68" s="157"/>
      <c r="I68" s="156"/>
      <c r="J68" s="156"/>
      <c r="L68" s="156"/>
    </row>
  </sheetData>
  <mergeCells count="114">
    <mergeCell ref="C58:D58"/>
    <mergeCell ref="F58:G58"/>
    <mergeCell ref="H58:J58"/>
    <mergeCell ref="L58:M58"/>
    <mergeCell ref="O58:P58"/>
    <mergeCell ref="Q58:S58"/>
    <mergeCell ref="C60:D60"/>
    <mergeCell ref="F60:G60"/>
    <mergeCell ref="H60:J60"/>
    <mergeCell ref="L60:M60"/>
    <mergeCell ref="O60:P60"/>
    <mergeCell ref="Q60:S60"/>
    <mergeCell ref="C59:D59"/>
    <mergeCell ref="F59:G59"/>
    <mergeCell ref="H59:J59"/>
    <mergeCell ref="L59:M59"/>
    <mergeCell ref="O59:P59"/>
    <mergeCell ref="Q59:S59"/>
    <mergeCell ref="C57:D57"/>
    <mergeCell ref="F57:G57"/>
    <mergeCell ref="H57:J57"/>
    <mergeCell ref="L57:M57"/>
    <mergeCell ref="O57:P57"/>
    <mergeCell ref="Q57:S57"/>
    <mergeCell ref="C56:D56"/>
    <mergeCell ref="F56:G56"/>
    <mergeCell ref="H56:J56"/>
    <mergeCell ref="L56:M56"/>
    <mergeCell ref="O56:P56"/>
    <mergeCell ref="Q56:S56"/>
    <mergeCell ref="C55:D55"/>
    <mergeCell ref="F55:G55"/>
    <mergeCell ref="H55:J55"/>
    <mergeCell ref="L55:M55"/>
    <mergeCell ref="O55:P55"/>
    <mergeCell ref="Q55:S55"/>
    <mergeCell ref="C54:D54"/>
    <mergeCell ref="F54:G54"/>
    <mergeCell ref="H54:J54"/>
    <mergeCell ref="L54:M54"/>
    <mergeCell ref="O54:P54"/>
    <mergeCell ref="Q54:S54"/>
    <mergeCell ref="F41:J41"/>
    <mergeCell ref="O41:S41"/>
    <mergeCell ref="F48:J48"/>
    <mergeCell ref="O48:S48"/>
    <mergeCell ref="C53:D53"/>
    <mergeCell ref="F53:J53"/>
    <mergeCell ref="L53:M53"/>
    <mergeCell ref="O53:S53"/>
    <mergeCell ref="C33:D33"/>
    <mergeCell ref="F33:J33"/>
    <mergeCell ref="L33:M33"/>
    <mergeCell ref="O33:S33"/>
    <mergeCell ref="F34:J34"/>
    <mergeCell ref="O34:S34"/>
    <mergeCell ref="C31:D31"/>
    <mergeCell ref="F31:G31"/>
    <mergeCell ref="H31:J31"/>
    <mergeCell ref="L31:M31"/>
    <mergeCell ref="O31:P31"/>
    <mergeCell ref="Q31:S31"/>
    <mergeCell ref="C30:D30"/>
    <mergeCell ref="F30:G30"/>
    <mergeCell ref="H30:J30"/>
    <mergeCell ref="L30:M30"/>
    <mergeCell ref="O30:P30"/>
    <mergeCell ref="Q30:S30"/>
    <mergeCell ref="C29:D29"/>
    <mergeCell ref="F29:G29"/>
    <mergeCell ref="H29:J29"/>
    <mergeCell ref="L29:M29"/>
    <mergeCell ref="O29:P29"/>
    <mergeCell ref="Q29:S29"/>
    <mergeCell ref="C28:D28"/>
    <mergeCell ref="F28:G28"/>
    <mergeCell ref="H28:J28"/>
    <mergeCell ref="L28:M28"/>
    <mergeCell ref="O28:P28"/>
    <mergeCell ref="Q28:S28"/>
    <mergeCell ref="C27:D27"/>
    <mergeCell ref="F27:G27"/>
    <mergeCell ref="H27:J27"/>
    <mergeCell ref="L27:M27"/>
    <mergeCell ref="O27:P27"/>
    <mergeCell ref="Q27:S27"/>
    <mergeCell ref="C26:D26"/>
    <mergeCell ref="F26:G26"/>
    <mergeCell ref="H26:J26"/>
    <mergeCell ref="L26:M26"/>
    <mergeCell ref="O26:P26"/>
    <mergeCell ref="Q26:S26"/>
    <mergeCell ref="C24:D24"/>
    <mergeCell ref="F24:J24"/>
    <mergeCell ref="L24:M24"/>
    <mergeCell ref="O24:S24"/>
    <mergeCell ref="C25:D25"/>
    <mergeCell ref="F25:G25"/>
    <mergeCell ref="H25:J25"/>
    <mergeCell ref="L25:M25"/>
    <mergeCell ref="O25:P25"/>
    <mergeCell ref="Q25:S25"/>
    <mergeCell ref="F5:J5"/>
    <mergeCell ref="O5:S5"/>
    <mergeCell ref="F12:J12"/>
    <mergeCell ref="O12:S12"/>
    <mergeCell ref="F19:J19"/>
    <mergeCell ref="O19:S19"/>
    <mergeCell ref="C2:O2"/>
    <mergeCell ref="P2:S2"/>
    <mergeCell ref="C4:D4"/>
    <mergeCell ref="F4:J4"/>
    <mergeCell ref="L4:M4"/>
    <mergeCell ref="O4:S4"/>
  </mergeCells>
  <conditionalFormatting sqref="H27:J27">
    <cfRule type="cellIs" dxfId="3" priority="4" operator="lessThan">
      <formula>0</formula>
    </cfRule>
  </conditionalFormatting>
  <conditionalFormatting sqref="H56:J56">
    <cfRule type="cellIs" dxfId="2" priority="3" operator="lessThan">
      <formula>0</formula>
    </cfRule>
  </conditionalFormatting>
  <conditionalFormatting sqref="Q27:S27">
    <cfRule type="cellIs" dxfId="1" priority="2" operator="lessThan">
      <formula>0</formula>
    </cfRule>
  </conditionalFormatting>
  <conditionalFormatting sqref="Q56:S56">
    <cfRule type="cellIs" dxfId="0" priority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8" scale="74" orientation="landscape" r:id="rId1"/>
  <headerFooter>
    <oddFooter>&amp;L&amp;"Arial,Regular"&amp;F&amp;C&amp;"Arial,Regular"Page &amp;P / &amp;N&amp;R&amp;"Arial,Regular"Print Date: 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39"/>
  <sheetViews>
    <sheetView topLeftCell="A10" zoomScale="70" zoomScaleNormal="70" workbookViewId="0">
      <selection activeCell="AA16" sqref="AA16"/>
    </sheetView>
  </sheetViews>
  <sheetFormatPr defaultColWidth="9.109375" defaultRowHeight="13.8" x14ac:dyDescent="0.3"/>
  <cols>
    <col min="1" max="1" width="3.6640625" style="46" customWidth="1"/>
    <col min="2" max="2" width="2.6640625" style="46" customWidth="1"/>
    <col min="3" max="3" width="35.6640625" style="46" customWidth="1"/>
    <col min="4" max="4" width="31.44140625" style="46" customWidth="1"/>
    <col min="5" max="5" width="1.6640625" style="46" customWidth="1"/>
    <col min="6" max="6" width="16.33203125" style="46" customWidth="1"/>
    <col min="7" max="9" width="11.44140625" style="46" customWidth="1"/>
    <col min="10" max="10" width="2.6640625" style="46" customWidth="1"/>
    <col min="11" max="11" width="35.6640625" style="46" customWidth="1"/>
    <col min="12" max="12" width="31.44140625" style="46" customWidth="1"/>
    <col min="13" max="13" width="1.6640625" style="46" customWidth="1"/>
    <col min="14" max="14" width="16.33203125" style="46" customWidth="1"/>
    <col min="15" max="17" width="11.44140625" style="46" customWidth="1"/>
    <col min="18" max="18" width="2.6640625" style="46" customWidth="1"/>
    <col min="19" max="19" width="11.33203125" style="46" bestFit="1" customWidth="1"/>
    <col min="20" max="16384" width="9.109375" style="46"/>
  </cols>
  <sheetData>
    <row r="1" spans="3:19" ht="13.95" thickBot="1" x14ac:dyDescent="0.5"/>
    <row r="2" spans="3:19" ht="54.9" customHeight="1" thickTop="1" thickBot="1" x14ac:dyDescent="0.35">
      <c r="C2" s="199" t="s">
        <v>165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11" t="str">
        <f>'ELM-30-A'!P2</f>
        <v>Issue Date: 21 Feb 2021
Cut-off Date:18 Feb 2021
Rev: 00</v>
      </c>
      <c r="P2" s="212"/>
      <c r="Q2" s="213"/>
      <c r="S2" s="21"/>
    </row>
    <row r="3" spans="3:19" ht="9.9" customHeight="1" thickTop="1" thickBot="1" x14ac:dyDescent="0.5"/>
    <row r="4" spans="3:19" ht="20.100000000000001" customHeight="1" thickTop="1" x14ac:dyDescent="0.45">
      <c r="C4" s="214" t="s">
        <v>130</v>
      </c>
      <c r="D4" s="215"/>
      <c r="E4" s="215"/>
      <c r="F4" s="215"/>
      <c r="G4" s="215"/>
      <c r="H4" s="215"/>
      <c r="I4" s="216"/>
      <c r="K4" s="214" t="s">
        <v>131</v>
      </c>
      <c r="L4" s="215"/>
      <c r="M4" s="215"/>
      <c r="N4" s="215"/>
      <c r="O4" s="215"/>
      <c r="P4" s="215"/>
      <c r="Q4" s="216"/>
    </row>
    <row r="5" spans="3:19" ht="15.9" customHeight="1" x14ac:dyDescent="0.3">
      <c r="C5" s="217" t="s">
        <v>142</v>
      </c>
      <c r="D5" s="218"/>
      <c r="E5" s="218"/>
      <c r="F5" s="218"/>
      <c r="G5" s="218"/>
      <c r="H5" s="218"/>
      <c r="I5" s="219"/>
      <c r="K5" s="217" t="s">
        <v>170</v>
      </c>
      <c r="L5" s="218"/>
      <c r="M5" s="218"/>
      <c r="N5" s="218"/>
      <c r="O5" s="218"/>
      <c r="P5" s="218"/>
      <c r="Q5" s="219"/>
    </row>
    <row r="6" spans="3:19" ht="15.9" customHeight="1" x14ac:dyDescent="0.3">
      <c r="C6" s="220"/>
      <c r="D6" s="218"/>
      <c r="E6" s="218"/>
      <c r="F6" s="218"/>
      <c r="G6" s="218"/>
      <c r="H6" s="218"/>
      <c r="I6" s="219"/>
      <c r="K6" s="220"/>
      <c r="L6" s="218"/>
      <c r="M6" s="218"/>
      <c r="N6" s="218"/>
      <c r="O6" s="218"/>
      <c r="P6" s="218"/>
      <c r="Q6" s="219"/>
    </row>
    <row r="7" spans="3:19" ht="15.9" customHeight="1" x14ac:dyDescent="0.3">
      <c r="C7" s="220"/>
      <c r="D7" s="218"/>
      <c r="E7" s="218"/>
      <c r="F7" s="218"/>
      <c r="G7" s="218"/>
      <c r="H7" s="218"/>
      <c r="I7" s="219"/>
      <c r="K7" s="220"/>
      <c r="L7" s="218"/>
      <c r="M7" s="218"/>
      <c r="N7" s="218"/>
      <c r="O7" s="218"/>
      <c r="P7" s="218"/>
      <c r="Q7" s="219"/>
    </row>
    <row r="8" spans="3:19" ht="15.9" customHeight="1" x14ac:dyDescent="0.3">
      <c r="C8" s="220"/>
      <c r="D8" s="218"/>
      <c r="E8" s="218"/>
      <c r="F8" s="218"/>
      <c r="G8" s="218"/>
      <c r="H8" s="218"/>
      <c r="I8" s="219"/>
      <c r="K8" s="220"/>
      <c r="L8" s="218"/>
      <c r="M8" s="218"/>
      <c r="N8" s="218"/>
      <c r="O8" s="218"/>
      <c r="P8" s="218"/>
      <c r="Q8" s="219"/>
    </row>
    <row r="9" spans="3:19" ht="15.9" customHeight="1" x14ac:dyDescent="0.3">
      <c r="C9" s="220"/>
      <c r="D9" s="218"/>
      <c r="E9" s="218"/>
      <c r="F9" s="218"/>
      <c r="G9" s="218"/>
      <c r="H9" s="218"/>
      <c r="I9" s="219"/>
      <c r="K9" s="220"/>
      <c r="L9" s="218"/>
      <c r="M9" s="218"/>
      <c r="N9" s="218"/>
      <c r="O9" s="218"/>
      <c r="P9" s="218"/>
      <c r="Q9" s="219"/>
    </row>
    <row r="10" spans="3:19" ht="15.9" customHeight="1" x14ac:dyDescent="0.3">
      <c r="C10" s="220"/>
      <c r="D10" s="218"/>
      <c r="E10" s="218"/>
      <c r="F10" s="218"/>
      <c r="G10" s="218"/>
      <c r="H10" s="218"/>
      <c r="I10" s="219"/>
      <c r="K10" s="220"/>
      <c r="L10" s="218"/>
      <c r="M10" s="218"/>
      <c r="N10" s="218"/>
      <c r="O10" s="218"/>
      <c r="P10" s="218"/>
      <c r="Q10" s="219"/>
    </row>
    <row r="11" spans="3:19" ht="15.9" customHeight="1" x14ac:dyDescent="0.3">
      <c r="C11" s="220"/>
      <c r="D11" s="218"/>
      <c r="E11" s="218"/>
      <c r="F11" s="218"/>
      <c r="G11" s="218"/>
      <c r="H11" s="218"/>
      <c r="I11" s="219"/>
      <c r="K11" s="220"/>
      <c r="L11" s="218"/>
      <c r="M11" s="218"/>
      <c r="N11" s="218"/>
      <c r="O11" s="218"/>
      <c r="P11" s="218"/>
      <c r="Q11" s="219"/>
    </row>
    <row r="12" spans="3:19" ht="15.9" customHeight="1" x14ac:dyDescent="0.3">
      <c r="C12" s="220"/>
      <c r="D12" s="218"/>
      <c r="E12" s="218"/>
      <c r="F12" s="218"/>
      <c r="G12" s="218"/>
      <c r="H12" s="218"/>
      <c r="I12" s="219"/>
      <c r="K12" s="220"/>
      <c r="L12" s="218"/>
      <c r="M12" s="218"/>
      <c r="N12" s="218"/>
      <c r="O12" s="218"/>
      <c r="P12" s="218"/>
      <c r="Q12" s="219"/>
    </row>
    <row r="13" spans="3:19" ht="15.9" customHeight="1" x14ac:dyDescent="0.3">
      <c r="C13" s="220"/>
      <c r="D13" s="218"/>
      <c r="E13" s="218"/>
      <c r="F13" s="218"/>
      <c r="G13" s="218"/>
      <c r="H13" s="218"/>
      <c r="I13" s="219"/>
      <c r="K13" s="220"/>
      <c r="L13" s="218"/>
      <c r="M13" s="218"/>
      <c r="N13" s="218"/>
      <c r="O13" s="218"/>
      <c r="P13" s="218"/>
      <c r="Q13" s="219"/>
    </row>
    <row r="14" spans="3:19" ht="15.9" customHeight="1" x14ac:dyDescent="0.3">
      <c r="C14" s="220"/>
      <c r="D14" s="218"/>
      <c r="E14" s="218"/>
      <c r="F14" s="218"/>
      <c r="G14" s="218"/>
      <c r="H14" s="218"/>
      <c r="I14" s="219"/>
      <c r="K14" s="220"/>
      <c r="L14" s="218"/>
      <c r="M14" s="218"/>
      <c r="N14" s="218"/>
      <c r="O14" s="218"/>
      <c r="P14" s="218"/>
      <c r="Q14" s="219"/>
    </row>
    <row r="15" spans="3:19" ht="15.9" customHeight="1" x14ac:dyDescent="0.3">
      <c r="C15" s="220"/>
      <c r="D15" s="218"/>
      <c r="E15" s="218"/>
      <c r="F15" s="218"/>
      <c r="G15" s="218"/>
      <c r="H15" s="218"/>
      <c r="I15" s="219"/>
      <c r="K15" s="220"/>
      <c r="L15" s="218"/>
      <c r="M15" s="218"/>
      <c r="N15" s="218"/>
      <c r="O15" s="218"/>
      <c r="P15" s="218"/>
      <c r="Q15" s="219"/>
    </row>
    <row r="16" spans="3:19" ht="15.9" customHeight="1" x14ac:dyDescent="0.3">
      <c r="C16" s="220"/>
      <c r="D16" s="218"/>
      <c r="E16" s="218"/>
      <c r="F16" s="218"/>
      <c r="G16" s="218"/>
      <c r="H16" s="218"/>
      <c r="I16" s="219"/>
      <c r="K16" s="220"/>
      <c r="L16" s="218"/>
      <c r="M16" s="218"/>
      <c r="N16" s="218"/>
      <c r="O16" s="218"/>
      <c r="P16" s="218"/>
      <c r="Q16" s="219"/>
    </row>
    <row r="17" spans="1:17" ht="15.9" customHeight="1" x14ac:dyDescent="0.3">
      <c r="C17" s="220"/>
      <c r="D17" s="218"/>
      <c r="E17" s="218"/>
      <c r="F17" s="218"/>
      <c r="G17" s="218"/>
      <c r="H17" s="218"/>
      <c r="I17" s="219"/>
      <c r="K17" s="220"/>
      <c r="L17" s="218"/>
      <c r="M17" s="218"/>
      <c r="N17" s="218"/>
      <c r="O17" s="218"/>
      <c r="P17" s="218"/>
      <c r="Q17" s="219"/>
    </row>
    <row r="18" spans="1:17" ht="15.9" customHeight="1" x14ac:dyDescent="0.3">
      <c r="C18" s="220"/>
      <c r="D18" s="218"/>
      <c r="E18" s="218"/>
      <c r="F18" s="218"/>
      <c r="G18" s="218"/>
      <c r="H18" s="218"/>
      <c r="I18" s="219"/>
      <c r="K18" s="220"/>
      <c r="L18" s="218"/>
      <c r="M18" s="218"/>
      <c r="N18" s="218"/>
      <c r="O18" s="218"/>
      <c r="P18" s="218"/>
      <c r="Q18" s="219"/>
    </row>
    <row r="19" spans="1:17" ht="15.9" customHeight="1" x14ac:dyDescent="0.3">
      <c r="C19" s="220"/>
      <c r="D19" s="218"/>
      <c r="E19" s="218"/>
      <c r="F19" s="218"/>
      <c r="G19" s="218"/>
      <c r="H19" s="218"/>
      <c r="I19" s="219"/>
      <c r="K19" s="220"/>
      <c r="L19" s="218"/>
      <c r="M19" s="218"/>
      <c r="N19" s="218"/>
      <c r="O19" s="218"/>
      <c r="P19" s="218"/>
      <c r="Q19" s="219"/>
    </row>
    <row r="20" spans="1:17" ht="15.9" customHeight="1" x14ac:dyDescent="0.3">
      <c r="A20" s="46" t="s">
        <v>120</v>
      </c>
      <c r="C20" s="220"/>
      <c r="D20" s="218"/>
      <c r="E20" s="218"/>
      <c r="F20" s="218"/>
      <c r="G20" s="218"/>
      <c r="H20" s="218"/>
      <c r="I20" s="219"/>
      <c r="K20" s="220"/>
      <c r="L20" s="218"/>
      <c r="M20" s="218"/>
      <c r="N20" s="218"/>
      <c r="O20" s="218"/>
      <c r="P20" s="218"/>
      <c r="Q20" s="219"/>
    </row>
    <row r="21" spans="1:17" ht="15.9" customHeight="1" x14ac:dyDescent="0.3">
      <c r="C21" s="220"/>
      <c r="D21" s="218"/>
      <c r="E21" s="218"/>
      <c r="F21" s="218"/>
      <c r="G21" s="218"/>
      <c r="H21" s="218"/>
      <c r="I21" s="219"/>
      <c r="K21" s="220"/>
      <c r="L21" s="218"/>
      <c r="M21" s="218"/>
      <c r="N21" s="218"/>
      <c r="O21" s="218"/>
      <c r="P21" s="218"/>
      <c r="Q21" s="219"/>
    </row>
    <row r="22" spans="1:17" ht="15.9" customHeight="1" x14ac:dyDescent="0.3">
      <c r="C22" s="220"/>
      <c r="D22" s="218"/>
      <c r="E22" s="218"/>
      <c r="F22" s="218"/>
      <c r="G22" s="218"/>
      <c r="H22" s="218"/>
      <c r="I22" s="219"/>
      <c r="K22" s="220"/>
      <c r="L22" s="218"/>
      <c r="M22" s="218"/>
      <c r="N22" s="218"/>
      <c r="O22" s="218"/>
      <c r="P22" s="218"/>
      <c r="Q22" s="219"/>
    </row>
    <row r="23" spans="1:17" ht="15.9" customHeight="1" x14ac:dyDescent="0.3">
      <c r="C23" s="220"/>
      <c r="D23" s="218"/>
      <c r="E23" s="218"/>
      <c r="F23" s="218"/>
      <c r="G23" s="218"/>
      <c r="H23" s="218"/>
      <c r="I23" s="219"/>
      <c r="K23" s="220"/>
      <c r="L23" s="218"/>
      <c r="M23" s="218"/>
      <c r="N23" s="218"/>
      <c r="O23" s="218"/>
      <c r="P23" s="218"/>
      <c r="Q23" s="219"/>
    </row>
    <row r="24" spans="1:17" ht="15.9" customHeight="1" x14ac:dyDescent="0.3">
      <c r="C24" s="220"/>
      <c r="D24" s="218"/>
      <c r="E24" s="218"/>
      <c r="F24" s="218"/>
      <c r="G24" s="218"/>
      <c r="H24" s="218"/>
      <c r="I24" s="219"/>
      <c r="K24" s="220"/>
      <c r="L24" s="218"/>
      <c r="M24" s="218"/>
      <c r="N24" s="218"/>
      <c r="O24" s="218"/>
      <c r="P24" s="218"/>
      <c r="Q24" s="219"/>
    </row>
    <row r="25" spans="1:17" ht="15.9" customHeight="1" x14ac:dyDescent="0.3">
      <c r="C25" s="220"/>
      <c r="D25" s="218"/>
      <c r="E25" s="218"/>
      <c r="F25" s="218"/>
      <c r="G25" s="218"/>
      <c r="H25" s="218"/>
      <c r="I25" s="219"/>
      <c r="K25" s="220"/>
      <c r="L25" s="218"/>
      <c r="M25" s="218"/>
      <c r="N25" s="218"/>
      <c r="O25" s="218"/>
      <c r="P25" s="218"/>
      <c r="Q25" s="219"/>
    </row>
    <row r="26" spans="1:17" ht="15.9" customHeight="1" x14ac:dyDescent="0.3">
      <c r="C26" s="220"/>
      <c r="D26" s="218"/>
      <c r="E26" s="218"/>
      <c r="F26" s="218"/>
      <c r="G26" s="218"/>
      <c r="H26" s="218"/>
      <c r="I26" s="219"/>
      <c r="K26" s="220"/>
      <c r="L26" s="218"/>
      <c r="M26" s="218"/>
      <c r="N26" s="218"/>
      <c r="O26" s="218"/>
      <c r="P26" s="218"/>
      <c r="Q26" s="219"/>
    </row>
    <row r="27" spans="1:17" ht="15.9" customHeight="1" x14ac:dyDescent="0.3">
      <c r="C27" s="220"/>
      <c r="D27" s="218"/>
      <c r="E27" s="218"/>
      <c r="F27" s="218"/>
      <c r="G27" s="218"/>
      <c r="H27" s="218"/>
      <c r="I27" s="219"/>
      <c r="K27" s="220"/>
      <c r="L27" s="218"/>
      <c r="M27" s="218"/>
      <c r="N27" s="218"/>
      <c r="O27" s="218"/>
      <c r="P27" s="218"/>
      <c r="Q27" s="219"/>
    </row>
    <row r="28" spans="1:17" ht="15.9" customHeight="1" x14ac:dyDescent="0.3">
      <c r="C28" s="220"/>
      <c r="D28" s="218"/>
      <c r="E28" s="218"/>
      <c r="F28" s="218"/>
      <c r="G28" s="218"/>
      <c r="H28" s="218"/>
      <c r="I28" s="219"/>
      <c r="K28" s="220"/>
      <c r="L28" s="218"/>
      <c r="M28" s="218"/>
      <c r="N28" s="218"/>
      <c r="O28" s="218"/>
      <c r="P28" s="218"/>
      <c r="Q28" s="219"/>
    </row>
    <row r="29" spans="1:17" ht="15.9" customHeight="1" x14ac:dyDescent="0.3">
      <c r="C29" s="220"/>
      <c r="D29" s="218"/>
      <c r="E29" s="218"/>
      <c r="F29" s="218"/>
      <c r="G29" s="218"/>
      <c r="H29" s="218"/>
      <c r="I29" s="219"/>
      <c r="K29" s="220"/>
      <c r="L29" s="218"/>
      <c r="M29" s="218"/>
      <c r="N29" s="218"/>
      <c r="O29" s="218"/>
      <c r="P29" s="218"/>
      <c r="Q29" s="219"/>
    </row>
    <row r="30" spans="1:17" x14ac:dyDescent="0.3">
      <c r="C30" s="220"/>
      <c r="D30" s="218"/>
      <c r="E30" s="218"/>
      <c r="F30" s="218"/>
      <c r="G30" s="218"/>
      <c r="H30" s="218"/>
      <c r="I30" s="219"/>
      <c r="K30" s="220"/>
      <c r="L30" s="218"/>
      <c r="M30" s="218"/>
      <c r="N30" s="218"/>
      <c r="O30" s="218"/>
      <c r="P30" s="218"/>
      <c r="Q30" s="219"/>
    </row>
    <row r="31" spans="1:17" ht="20.100000000000001" customHeight="1" x14ac:dyDescent="0.3">
      <c r="C31" s="220"/>
      <c r="D31" s="218"/>
      <c r="E31" s="218"/>
      <c r="F31" s="218"/>
      <c r="G31" s="218"/>
      <c r="H31" s="218"/>
      <c r="I31" s="219"/>
      <c r="K31" s="220"/>
      <c r="L31" s="218"/>
      <c r="M31" s="218"/>
      <c r="N31" s="218"/>
      <c r="O31" s="218"/>
      <c r="P31" s="218"/>
      <c r="Q31" s="219"/>
    </row>
    <row r="32" spans="1:17" ht="15.9" customHeight="1" x14ac:dyDescent="0.3">
      <c r="C32" s="220"/>
      <c r="D32" s="218"/>
      <c r="E32" s="218"/>
      <c r="F32" s="218"/>
      <c r="G32" s="218"/>
      <c r="H32" s="218"/>
      <c r="I32" s="219"/>
      <c r="K32" s="220"/>
      <c r="L32" s="218"/>
      <c r="M32" s="218"/>
      <c r="N32" s="218"/>
      <c r="O32" s="218"/>
      <c r="P32" s="218"/>
      <c r="Q32" s="219"/>
    </row>
    <row r="33" spans="3:17" ht="15.9" customHeight="1" x14ac:dyDescent="0.3">
      <c r="C33" s="220"/>
      <c r="D33" s="218"/>
      <c r="E33" s="218"/>
      <c r="F33" s="218"/>
      <c r="G33" s="218"/>
      <c r="H33" s="218"/>
      <c r="I33" s="219"/>
      <c r="K33" s="220"/>
      <c r="L33" s="218"/>
      <c r="M33" s="218"/>
      <c r="N33" s="218"/>
      <c r="O33" s="218"/>
      <c r="P33" s="218"/>
      <c r="Q33" s="219"/>
    </row>
    <row r="34" spans="3:17" ht="15.9" customHeight="1" x14ac:dyDescent="0.3">
      <c r="C34" s="220"/>
      <c r="D34" s="218"/>
      <c r="E34" s="218"/>
      <c r="F34" s="218"/>
      <c r="G34" s="218"/>
      <c r="H34" s="218"/>
      <c r="I34" s="219"/>
      <c r="K34" s="220"/>
      <c r="L34" s="218"/>
      <c r="M34" s="218"/>
      <c r="N34" s="218"/>
      <c r="O34" s="218"/>
      <c r="P34" s="218"/>
      <c r="Q34" s="219"/>
    </row>
    <row r="35" spans="3:17" ht="15.9" customHeight="1" x14ac:dyDescent="0.3">
      <c r="C35" s="220"/>
      <c r="D35" s="218"/>
      <c r="E35" s="218"/>
      <c r="F35" s="218"/>
      <c r="G35" s="218"/>
      <c r="H35" s="218"/>
      <c r="I35" s="219"/>
      <c r="K35" s="220"/>
      <c r="L35" s="218"/>
      <c r="M35" s="218"/>
      <c r="N35" s="218"/>
      <c r="O35" s="218"/>
      <c r="P35" s="218"/>
      <c r="Q35" s="219"/>
    </row>
    <row r="36" spans="3:17" ht="15.9" customHeight="1" x14ac:dyDescent="0.3">
      <c r="C36" s="220"/>
      <c r="D36" s="218"/>
      <c r="E36" s="218"/>
      <c r="F36" s="218"/>
      <c r="G36" s="218"/>
      <c r="H36" s="218"/>
      <c r="I36" s="219"/>
      <c r="K36" s="220"/>
      <c r="L36" s="218"/>
      <c r="M36" s="218"/>
      <c r="N36" s="218"/>
      <c r="O36" s="218"/>
      <c r="P36" s="218"/>
      <c r="Q36" s="219"/>
    </row>
    <row r="37" spans="3:17" ht="15.9" customHeight="1" x14ac:dyDescent="0.3">
      <c r="C37" s="220"/>
      <c r="D37" s="218"/>
      <c r="E37" s="218"/>
      <c r="F37" s="218"/>
      <c r="G37" s="218"/>
      <c r="H37" s="218"/>
      <c r="I37" s="219"/>
      <c r="K37" s="220"/>
      <c r="L37" s="218"/>
      <c r="M37" s="218"/>
      <c r="N37" s="218"/>
      <c r="O37" s="218"/>
      <c r="P37" s="218"/>
      <c r="Q37" s="219"/>
    </row>
    <row r="38" spans="3:17" ht="15.9" customHeight="1" thickBot="1" x14ac:dyDescent="0.35">
      <c r="C38" s="221"/>
      <c r="D38" s="222"/>
      <c r="E38" s="222"/>
      <c r="F38" s="222"/>
      <c r="G38" s="222"/>
      <c r="H38" s="222"/>
      <c r="I38" s="223"/>
      <c r="K38" s="221"/>
      <c r="L38" s="222"/>
      <c r="M38" s="222"/>
      <c r="N38" s="222"/>
      <c r="O38" s="222"/>
      <c r="P38" s="222"/>
      <c r="Q38" s="223"/>
    </row>
    <row r="39" spans="3:17" ht="15" customHeight="1" thickTop="1" x14ac:dyDescent="0.3"/>
  </sheetData>
  <mergeCells count="6">
    <mergeCell ref="C2:N2"/>
    <mergeCell ref="O2:Q2"/>
    <mergeCell ref="C4:I4"/>
    <mergeCell ref="K4:Q4"/>
    <mergeCell ref="C5:I38"/>
    <mergeCell ref="K5:Q38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81" orientation="landscape" r:id="rId1"/>
  <headerFooter>
    <oddFooter>&amp;L&amp;"Arial,Regular"&amp;F&amp;C&amp;"Arial,Regular"Page &amp;P / &amp;N&amp;R&amp;"Arial,Regular"&amp;D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25"/>
  <sheetViews>
    <sheetView zoomScale="115" zoomScaleNormal="115" workbookViewId="0">
      <selection activeCell="E29" sqref="E29"/>
    </sheetView>
  </sheetViews>
  <sheetFormatPr defaultRowHeight="14.4" x14ac:dyDescent="0.3"/>
  <cols>
    <col min="2" max="2" width="28.33203125" customWidth="1"/>
    <col min="3" max="3" width="28" customWidth="1"/>
    <col min="4" max="4" width="3.6640625" style="39" customWidth="1"/>
    <col min="5" max="5" width="28.33203125" customWidth="1"/>
    <col min="6" max="6" width="35.109375" customWidth="1"/>
    <col min="7" max="8" width="8.88671875" customWidth="1"/>
    <col min="9" max="9" width="12.33203125" hidden="1" customWidth="1"/>
    <col min="10" max="10" width="10" hidden="1" customWidth="1"/>
    <col min="11" max="11" width="8.88671875" hidden="1" customWidth="1"/>
    <col min="12" max="12" width="15" hidden="1" customWidth="1"/>
    <col min="13" max="13" width="8.88671875" hidden="1" customWidth="1"/>
    <col min="14" max="14" width="10.6640625" hidden="1" customWidth="1"/>
    <col min="15" max="15" width="9.33203125" hidden="1" customWidth="1"/>
    <col min="16" max="19" width="8.88671875" hidden="1" customWidth="1"/>
    <col min="20" max="22" width="0" hidden="1" customWidth="1"/>
  </cols>
  <sheetData>
    <row r="1" spans="2:19" ht="14.7" thickBot="1" x14ac:dyDescent="0.5"/>
    <row r="2" spans="2:19" x14ac:dyDescent="0.3">
      <c r="B2" s="4" t="s">
        <v>1</v>
      </c>
      <c r="C2" s="36" t="s">
        <v>2</v>
      </c>
      <c r="D2" s="40"/>
      <c r="E2" s="4" t="s">
        <v>1</v>
      </c>
      <c r="F2" s="37" t="s">
        <v>41</v>
      </c>
      <c r="I2" s="61"/>
      <c r="J2" s="62"/>
      <c r="K2" s="62"/>
      <c r="L2" s="62"/>
      <c r="M2" s="62"/>
      <c r="N2" s="62" t="s">
        <v>81</v>
      </c>
      <c r="O2" s="62"/>
      <c r="P2" s="62"/>
      <c r="Q2" s="62"/>
      <c r="R2" s="62"/>
      <c r="S2" s="235" t="s">
        <v>88</v>
      </c>
    </row>
    <row r="3" spans="2:19" x14ac:dyDescent="0.3">
      <c r="B3" s="6" t="s">
        <v>73</v>
      </c>
      <c r="C3" s="38">
        <v>43601</v>
      </c>
      <c r="D3" s="41"/>
      <c r="E3" s="6" t="s">
        <v>73</v>
      </c>
      <c r="F3" s="38">
        <v>43682</v>
      </c>
      <c r="I3" s="63" t="s">
        <v>77</v>
      </c>
      <c r="J3" s="39" t="s">
        <v>78</v>
      </c>
      <c r="K3" s="39"/>
      <c r="L3" s="39"/>
      <c r="M3" s="39"/>
      <c r="N3" s="39" t="s">
        <v>77</v>
      </c>
      <c r="O3" s="39" t="s">
        <v>78</v>
      </c>
      <c r="P3" s="39" t="s">
        <v>82</v>
      </c>
      <c r="Q3" s="39"/>
      <c r="R3" s="39"/>
      <c r="S3" s="236"/>
    </row>
    <row r="4" spans="2:19" x14ac:dyDescent="0.3">
      <c r="B4" s="6" t="s">
        <v>11</v>
      </c>
      <c r="C4" s="38">
        <v>43966</v>
      </c>
      <c r="D4" s="41"/>
      <c r="E4" s="6" t="s">
        <v>117</v>
      </c>
      <c r="F4" s="38">
        <v>44196</v>
      </c>
      <c r="I4" s="63">
        <f>F4-F3+1</f>
        <v>515</v>
      </c>
      <c r="J4" s="39">
        <f>I4/30</f>
        <v>17.166666666666668</v>
      </c>
      <c r="K4" s="39"/>
      <c r="L4" s="39"/>
      <c r="M4" s="39"/>
      <c r="N4" s="64">
        <f>L5*I4</f>
        <v>236.25624999999999</v>
      </c>
      <c r="O4" s="65">
        <f>N4/30</f>
        <v>7.8752083333333331</v>
      </c>
      <c r="P4" s="66">
        <f>O4*26</f>
        <v>204.75541666666666</v>
      </c>
      <c r="Q4" s="67" t="s">
        <v>101</v>
      </c>
      <c r="R4" s="39"/>
      <c r="S4" s="236"/>
    </row>
    <row r="5" spans="2:19" ht="15" thickBot="1" x14ac:dyDescent="0.35">
      <c r="B5" s="52" t="s">
        <v>76</v>
      </c>
      <c r="C5" s="53">
        <v>44347</v>
      </c>
      <c r="E5" s="52" t="s">
        <v>76</v>
      </c>
      <c r="F5" s="53" t="s">
        <v>158</v>
      </c>
      <c r="I5" s="68"/>
      <c r="J5" s="51">
        <v>0.54125000000000001</v>
      </c>
      <c r="K5" s="69" t="s">
        <v>79</v>
      </c>
      <c r="L5" s="51">
        <f>100%-J5</f>
        <v>0.45874999999999999</v>
      </c>
      <c r="M5" s="69" t="s">
        <v>80</v>
      </c>
      <c r="N5" s="69"/>
      <c r="O5" s="69"/>
      <c r="P5" s="69"/>
      <c r="Q5" s="69"/>
      <c r="R5" s="69"/>
      <c r="S5" s="237"/>
    </row>
    <row r="6" spans="2:19" ht="14.7" thickBot="1" x14ac:dyDescent="0.5"/>
    <row r="7" spans="2:19" x14ac:dyDescent="0.3">
      <c r="B7" s="4" t="s">
        <v>1</v>
      </c>
      <c r="C7" s="36" t="s">
        <v>74</v>
      </c>
      <c r="D7" s="40"/>
      <c r="E7" s="4" t="s">
        <v>1</v>
      </c>
      <c r="F7" s="37" t="s">
        <v>42</v>
      </c>
      <c r="I7" s="61"/>
      <c r="J7" s="62"/>
      <c r="K7" s="62"/>
      <c r="L7" s="62"/>
      <c r="M7" s="62"/>
      <c r="N7" s="62" t="s">
        <v>81</v>
      </c>
      <c r="O7" s="62"/>
      <c r="P7" s="62"/>
      <c r="Q7" s="62"/>
      <c r="R7" s="62"/>
      <c r="S7" s="235" t="s">
        <v>90</v>
      </c>
    </row>
    <row r="8" spans="2:19" x14ac:dyDescent="0.3">
      <c r="B8" s="6" t="s">
        <v>73</v>
      </c>
      <c r="C8" s="38">
        <v>43831</v>
      </c>
      <c r="D8" s="41"/>
      <c r="E8" s="6" t="s">
        <v>73</v>
      </c>
      <c r="F8" s="38">
        <v>43961</v>
      </c>
      <c r="I8" s="63" t="s">
        <v>77</v>
      </c>
      <c r="J8" s="39" t="s">
        <v>78</v>
      </c>
      <c r="K8" s="39"/>
      <c r="L8" s="39"/>
      <c r="M8" s="39"/>
      <c r="N8" s="39" t="s">
        <v>77</v>
      </c>
      <c r="O8" s="39" t="s">
        <v>78</v>
      </c>
      <c r="P8" s="39" t="s">
        <v>82</v>
      </c>
      <c r="Q8" s="39"/>
      <c r="R8" s="39"/>
      <c r="S8" s="236"/>
    </row>
    <row r="9" spans="2:19" ht="15" thickBot="1" x14ac:dyDescent="0.35">
      <c r="B9" s="31" t="s">
        <v>11</v>
      </c>
      <c r="C9" s="42">
        <v>44012</v>
      </c>
      <c r="D9" s="41"/>
      <c r="E9" s="31" t="s">
        <v>11</v>
      </c>
      <c r="F9" s="42">
        <v>44362</v>
      </c>
      <c r="I9" s="63">
        <f>C9-C8+1</f>
        <v>182</v>
      </c>
      <c r="J9" s="70">
        <f>I9/30</f>
        <v>6.0666666666666664</v>
      </c>
      <c r="K9" s="39"/>
      <c r="L9" s="39"/>
      <c r="M9" s="39"/>
      <c r="N9" s="64">
        <f>L10*I9</f>
        <v>1.0919999999990715E-2</v>
      </c>
      <c r="O9" s="65">
        <f>N9/30</f>
        <v>3.6399999999969047E-4</v>
      </c>
      <c r="P9" s="66">
        <f>O9*26</f>
        <v>9.4639999999919528E-3</v>
      </c>
      <c r="Q9" s="67" t="s">
        <v>91</v>
      </c>
      <c r="R9" s="39"/>
      <c r="S9" s="236"/>
    </row>
    <row r="10" spans="2:19" ht="15" thickBot="1" x14ac:dyDescent="0.35">
      <c r="B10" s="52" t="s">
        <v>76</v>
      </c>
      <c r="C10" s="53">
        <f>'ELM-30-A'!D49</f>
        <v>44231</v>
      </c>
      <c r="E10" s="52" t="s">
        <v>76</v>
      </c>
      <c r="F10" s="53" t="s">
        <v>94</v>
      </c>
      <c r="I10" s="68"/>
      <c r="J10" s="51">
        <f>'ELM-30-A'!H47</f>
        <v>0.99994000000000005</v>
      </c>
      <c r="K10" s="69" t="s">
        <v>79</v>
      </c>
      <c r="L10" s="51">
        <f>100%-J10</f>
        <v>5.9999999999948983E-5</v>
      </c>
      <c r="M10" s="69" t="s">
        <v>80</v>
      </c>
      <c r="N10" s="69"/>
      <c r="O10" s="69"/>
      <c r="P10" s="69"/>
      <c r="Q10" s="69"/>
      <c r="R10" s="69"/>
      <c r="S10" s="237"/>
    </row>
    <row r="11" spans="2:19" x14ac:dyDescent="0.3">
      <c r="C11" t="s">
        <v>93</v>
      </c>
    </row>
    <row r="12" spans="2:19" x14ac:dyDescent="0.3">
      <c r="C12">
        <f>C10-C8+1</f>
        <v>401</v>
      </c>
      <c r="F12">
        <f>F9-F8+1</f>
        <v>402</v>
      </c>
      <c r="N12" t="s">
        <v>92</v>
      </c>
      <c r="O12" s="44">
        <f>'ELM-30-A'!T2</f>
        <v>44245</v>
      </c>
    </row>
    <row r="13" spans="2:19" ht="14.25" x14ac:dyDescent="0.45">
      <c r="C13">
        <f>C4-C3+1</f>
        <v>366</v>
      </c>
      <c r="D13" t="s">
        <v>97</v>
      </c>
    </row>
    <row r="14" spans="2:19" ht="14.7" thickBot="1" x14ac:dyDescent="0.5">
      <c r="C14">
        <f>C5-C4+1</f>
        <v>382</v>
      </c>
      <c r="O14" s="44"/>
    </row>
    <row r="15" spans="2:19" ht="14.25" x14ac:dyDescent="0.45">
      <c r="B15" s="47" t="s">
        <v>1</v>
      </c>
      <c r="C15" s="36" t="s">
        <v>126</v>
      </c>
      <c r="D15" s="40"/>
      <c r="E15" s="47" t="s">
        <v>1</v>
      </c>
      <c r="F15" s="37" t="s">
        <v>127</v>
      </c>
    </row>
    <row r="16" spans="2:19" ht="14.25" x14ac:dyDescent="0.45">
      <c r="B16" s="6" t="s">
        <v>73</v>
      </c>
      <c r="C16" s="38">
        <v>44034</v>
      </c>
      <c r="D16" s="41"/>
      <c r="E16" s="6" t="s">
        <v>73</v>
      </c>
      <c r="F16" s="38">
        <v>44044</v>
      </c>
    </row>
    <row r="17" spans="2:6" ht="14.7" thickBot="1" x14ac:dyDescent="0.5">
      <c r="B17" s="48" t="s">
        <v>11</v>
      </c>
      <c r="C17" s="42">
        <v>44180</v>
      </c>
      <c r="D17" s="41"/>
      <c r="E17" s="48" t="s">
        <v>11</v>
      </c>
      <c r="F17" s="42">
        <v>44287</v>
      </c>
    </row>
    <row r="18" spans="2:6" ht="14.7" thickBot="1" x14ac:dyDescent="0.5">
      <c r="B18" s="52" t="s">
        <v>76</v>
      </c>
      <c r="C18" s="53">
        <f>C17</f>
        <v>44180</v>
      </c>
      <c r="E18" s="52" t="s">
        <v>76</v>
      </c>
      <c r="F18" s="53" t="s">
        <v>94</v>
      </c>
    </row>
    <row r="20" spans="2:6" x14ac:dyDescent="0.3">
      <c r="C20" s="154">
        <v>44237</v>
      </c>
    </row>
    <row r="21" spans="2:6" x14ac:dyDescent="0.3">
      <c r="C21" s="45">
        <f>C20-C16</f>
        <v>203</v>
      </c>
    </row>
    <row r="22" spans="2:6" x14ac:dyDescent="0.3">
      <c r="C22">
        <f ca="1">C23-C16</f>
        <v>218</v>
      </c>
    </row>
    <row r="23" spans="2:6" x14ac:dyDescent="0.3">
      <c r="C23" s="155">
        <f ca="1">TODAY()</f>
        <v>44252</v>
      </c>
    </row>
    <row r="25" spans="2:6" x14ac:dyDescent="0.3">
      <c r="C25" s="55">
        <f ca="1">C22/C21</f>
        <v>1.0738916256157636</v>
      </c>
    </row>
  </sheetData>
  <mergeCells count="2">
    <mergeCell ref="S2:S5"/>
    <mergeCell ref="S7:S10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6"/>
  <sheetViews>
    <sheetView workbookViewId="0">
      <selection activeCell="D21" sqref="D21"/>
    </sheetView>
  </sheetViews>
  <sheetFormatPr defaultRowHeight="14.4" x14ac:dyDescent="0.3"/>
  <cols>
    <col min="2" max="2" width="14" bestFit="1" customWidth="1"/>
    <col min="3" max="3" width="13.6640625" bestFit="1" customWidth="1"/>
    <col min="4" max="4" width="19.6640625" customWidth="1"/>
    <col min="5" max="5" width="29.88671875" bestFit="1" customWidth="1"/>
  </cols>
  <sheetData>
    <row r="3" spans="2:5" x14ac:dyDescent="0.45">
      <c r="B3" s="59" t="s">
        <v>2</v>
      </c>
      <c r="E3" s="60" t="s">
        <v>86</v>
      </c>
    </row>
    <row r="4" spans="2:5" x14ac:dyDescent="0.45">
      <c r="B4" s="56" t="s">
        <v>83</v>
      </c>
      <c r="D4" s="57">
        <v>97222334</v>
      </c>
    </row>
    <row r="5" spans="2:5" x14ac:dyDescent="0.45">
      <c r="B5" s="56"/>
      <c r="D5" s="57"/>
    </row>
    <row r="6" spans="2:5" x14ac:dyDescent="0.45">
      <c r="B6" t="s">
        <v>84</v>
      </c>
      <c r="C6" s="54">
        <f>'ELM-30-A'!H18</f>
        <v>0.54379999999999995</v>
      </c>
      <c r="D6" s="55">
        <f>C6*D4</f>
        <v>52869505.229199998</v>
      </c>
    </row>
    <row r="7" spans="2:5" x14ac:dyDescent="0.45">
      <c r="B7" t="s">
        <v>87</v>
      </c>
      <c r="C7" s="54"/>
      <c r="D7" s="55"/>
    </row>
    <row r="8" spans="2:5" x14ac:dyDescent="0.45">
      <c r="B8" t="s">
        <v>85</v>
      </c>
      <c r="C8" s="58">
        <f>100%-C6</f>
        <v>0.45620000000000005</v>
      </c>
      <c r="D8" s="55">
        <f>C8*D4</f>
        <v>44352828.770800002</v>
      </c>
      <c r="E8" t="s">
        <v>89</v>
      </c>
    </row>
    <row r="11" spans="2:5" x14ac:dyDescent="0.45">
      <c r="B11" t="s">
        <v>88</v>
      </c>
    </row>
    <row r="12" spans="2:5" x14ac:dyDescent="0.45">
      <c r="B12" s="56" t="s">
        <v>83</v>
      </c>
      <c r="D12" s="57">
        <v>5567342</v>
      </c>
    </row>
    <row r="13" spans="2:5" x14ac:dyDescent="0.45">
      <c r="B13" s="56"/>
      <c r="D13" s="57"/>
    </row>
    <row r="14" spans="2:5" x14ac:dyDescent="0.45">
      <c r="B14" t="s">
        <v>84</v>
      </c>
      <c r="C14" s="54">
        <f>'ELM-30-A'!Q18</f>
        <v>0.56403303612028233</v>
      </c>
      <c r="D14" s="55">
        <f>C14*D12</f>
        <v>3140164.8113799649</v>
      </c>
    </row>
    <row r="15" spans="2:5" x14ac:dyDescent="0.45">
      <c r="B15" t="s">
        <v>87</v>
      </c>
      <c r="C15" s="54"/>
      <c r="D15" s="55"/>
    </row>
    <row r="16" spans="2:5" x14ac:dyDescent="0.45">
      <c r="B16" t="s">
        <v>85</v>
      </c>
      <c r="C16" s="58">
        <f>100%-C14</f>
        <v>0.43596696387971767</v>
      </c>
      <c r="D16" s="55">
        <f>C16*D12</f>
        <v>2427177.1886200351</v>
      </c>
      <c r="E16" t="s">
        <v>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ELM-30-A</vt:lpstr>
      <vt:lpstr>Progress Photos-30-A</vt:lpstr>
      <vt:lpstr>ELM-30-B</vt:lpstr>
      <vt:lpstr>Progress Photos-30-B</vt:lpstr>
      <vt:lpstr>Orig Contractual Dates</vt:lpstr>
      <vt:lpstr>CTC Calculation</vt:lpstr>
      <vt:lpstr>'ELM-30-A'!Print_Area</vt:lpstr>
      <vt:lpstr>'ELM-30-B'!Print_Area</vt:lpstr>
      <vt:lpstr>'Progress Photos-30-A'!Print_Area</vt:lpstr>
      <vt:lpstr>'Progress Photos-30-B'!Print_Area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2021-02-25T05:32:58Z</dcterms:modified>
</cp:coreProperties>
</file>