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nde\Documents\"/>
    </mc:Choice>
  </mc:AlternateContent>
  <xr:revisionPtr revIDLastSave="0" documentId="10_ncr:8100000_{F959EE77-C514-4996-9F5B-FDB541A726D2}" xr6:coauthVersionLast="33" xr6:coauthVersionMax="33" xr10:uidLastSave="{00000000-0000-0000-0000-000000000000}"/>
  <bookViews>
    <workbookView xWindow="0" yWindow="0" windowWidth="20490" windowHeight="7545" firstSheet="1" activeTab="2" xr2:uid="{E9D9CDB7-2AB8-4BDC-AAEF-9A78BC2A8293}"/>
  </bookViews>
  <sheets>
    <sheet name="TABLE OF CONTENT" sheetId="1" r:id="rId1"/>
    <sheet name="Ratio analysis" sheetId="16" r:id="rId2"/>
    <sheet name="Income statement" sheetId="2" r:id="rId3"/>
    <sheet name="SOFP" sheetId="3" r:id="rId4"/>
    <sheet name="Cashflow " sheetId="5" r:id="rId5"/>
  </sheets>
  <definedNames>
    <definedName name="Beps_15">'Income statement'!$C$18/'Income statement'!$B$18</definedName>
    <definedName name="Beps_16">'Income statement'!$D$18/'Income statement'!$C$18</definedName>
    <definedName name="Beps_17">'Income statement'!$E$18/'Income statement'!$D$18</definedName>
    <definedName name="Beps_18">'Income statement'!$F$18/'Income statement'!$E$18</definedName>
    <definedName name="CM_14">'Income statement'!$B$5/'Income statement'!$B$4</definedName>
    <definedName name="CM_15">'Income statement'!$C$5/'Income statement'!$C$4</definedName>
    <definedName name="CM_16">'Income statement'!$D$5/'Income statement'!$D$4</definedName>
    <definedName name="CM_17">'Income statement'!$E$5/'Income statement'!$E$4</definedName>
    <definedName name="CM_18">'Income statement'!$F$5/'Income statement'!$F$4</definedName>
    <definedName name="cost_18">'Income statement'!$F$5/'Income statement'!$E$5</definedName>
    <definedName name="cost_dec_16">'Income statement'!$D$5/'Income statement'!$C$5</definedName>
    <definedName name="COST_OF_GOODS_SOLD_SALES">'Income statement'!$C$5/'Income statement'!$B$5</definedName>
    <definedName name="CR_14">SOFP!$B$10/SOFP!$B$22</definedName>
    <definedName name="CR_15">SOFP!$C$10/SOFP!$C$22</definedName>
    <definedName name="CR_16">SOFP!$D$10/SOFP!$D$22</definedName>
    <definedName name="CR_17">SOFP!$E$10/SOFP!$E$22</definedName>
    <definedName name="CR_18">SOFP!$F$10/SOFP!$F$22</definedName>
    <definedName name="Dec_14">'Income statement'!$B$4/'Income statement'!$B$4</definedName>
    <definedName name="Dec_15">'Income statement'!$C$4/'Income statement'!$B$4</definedName>
    <definedName name="Dec_16">'Income statement'!$D$4/'Income statement'!$C$4</definedName>
    <definedName name="Dec_17">'Income statement'!$E$4/'Income statement'!$D$4</definedName>
    <definedName name="Dec_18">'Income statement'!$F$6/'Income statement'!$E$6</definedName>
    <definedName name="dep_15">'Income statement'!$C$11/'Income statement'!$B$11</definedName>
    <definedName name="dep_16">'Income statement'!$D$11/'Income statement'!$C$11</definedName>
    <definedName name="dep_17">'Income statement'!$E$11/'Income statement'!$D$11</definedName>
    <definedName name="dep_18">'Income statement'!$F$11/'Income statement'!$E$11</definedName>
    <definedName name="Deps_15">'Income statement'!$C$19/'Income statement'!$B$19</definedName>
    <definedName name="Deps_16">'Income statement'!$D$19/'Income statement'!$C$19</definedName>
    <definedName name="Deps_17">'Income statement'!$E$19/'Income statement'!$D$19</definedName>
    <definedName name="Deps_18">'Income statement'!$F$19/'Income statement'!$E$19</definedName>
    <definedName name="ebit_15">'Income statement'!$C$12/'Income statement'!$B$12</definedName>
    <definedName name="ebit_16">'Income statement'!$D$12/'Income statement'!$C$12</definedName>
    <definedName name="ebit_17">'Income statement'!$E$12/'Income statement'!$D$12</definedName>
    <definedName name="ebit_18">'Income statement'!$F$12/'Income statement'!$E$12</definedName>
    <definedName name="EBIT_M_14">'Income statement'!$B$12/'Income statement'!$B$4</definedName>
    <definedName name="EBIT_M_15">'Income statement'!$C$12/'Income statement'!$C$4</definedName>
    <definedName name="EBIT_M_16">'Income statement'!$D$12/'Income statement'!$D$4</definedName>
    <definedName name="EBIT_M_17">'Income statement'!$E$12/'Income statement'!$E$4</definedName>
    <definedName name="EBIT_M_18">'Income statement'!$F$12/'Income statement'!$F$4</definedName>
    <definedName name="ebitda_15">'Income statement'!$C$10/'Income statement'!$B$10</definedName>
    <definedName name="ebitda_16">'Income statement'!$D$10/'Income statement'!$C$10</definedName>
    <definedName name="ebitda_17">'Income statement'!$E$10/'Income statement'!$D$10</definedName>
    <definedName name="ebitda_18">'Income statement'!$F$10/'Income statement'!$E$10</definedName>
    <definedName name="EBITDA_M_14">'Income statement'!$B$10/'Income statement'!$B$4</definedName>
    <definedName name="EBITDA_M_15">'Income statement'!$C$10/'Income statement'!$C$4</definedName>
    <definedName name="EBITDA_M_16">'Income statement'!$D$10/'Income statement'!$D$4</definedName>
    <definedName name="EBITDA_M_17">'Income statement'!$E$10/'Income statement'!$E$4</definedName>
    <definedName name="EBITDA_M_18">'Income statement'!$F$12/'Income statement'!$F$4</definedName>
    <definedName name="ebt_15">'Income statement'!$C$15/'Income statement'!$B$15</definedName>
    <definedName name="ebt_16">'Income statement'!$D$15/'Income statement'!$C$15</definedName>
    <definedName name="ebt_17">'Income statement'!$E$15/'Income statement'!$D$15</definedName>
    <definedName name="ebt_18">'Income statement'!$F$15/'Income statement'!$E$15</definedName>
    <definedName name="EBT_M_14">'Income statement'!$B$15/'Income statement'!$B$4</definedName>
    <definedName name="EBT_M_15">'Income statement'!$C$15/'Income statement'!$C$4</definedName>
    <definedName name="EBT_M_16">'Income statement'!$D$15/'Income statement'!$D$4</definedName>
    <definedName name="EBT_M_17">'Income statement'!$E$15/'Income statement'!$E$4</definedName>
    <definedName name="EBT_M_18">'Income statement'!$F$15/'Income statement'!$F$4</definedName>
    <definedName name="gpg_15">'Income statement'!$C$6/'Income statement'!$B$6</definedName>
    <definedName name="gpg_16">'Income statement'!$D$6/'Income statement'!$C$6</definedName>
    <definedName name="gpg_17">'Income statement'!$E$6/'Income statement'!$D$6</definedName>
    <definedName name="gpg_18">'Income statement'!$F$6/'Income statement'!$E$6</definedName>
    <definedName name="GPM_15">'Income statement'!$C$6/'Income statement'!$C$4</definedName>
    <definedName name="GPM_16">'Income statement'!$D$6/'Income statement'!$D$4</definedName>
    <definedName name="GPM_17">'Income statement'!$E$6/'Income statement'!$E$4</definedName>
    <definedName name="GPM_18">'Income statement'!$F$6/'Income statement'!$F$4</definedName>
    <definedName name="Gross_profit_margin">'Income statement'!$B$6/'Income statement'!$B$4</definedName>
    <definedName name="hyperlink">'Ratio analysis'!$C$6</definedName>
    <definedName name="IC_14">'Income statement'!$B$12/'Income statement'!$B$13</definedName>
    <definedName name="IC_15">'Income statement'!$C$12/'Income statement'!$C$13</definedName>
    <definedName name="IC_16">'Income statement'!$D$12/'Income statement'!$D$13</definedName>
    <definedName name="IC_17">'Income statement'!$E$12/'Income statement'!$E$13</definedName>
    <definedName name="IC_18">'Income statement'!$F$12/'Income statement'!$F$13</definedName>
    <definedName name="ie_15">'Income statement'!$C$13/'Income statement'!$B$13</definedName>
    <definedName name="ie_16">'Income statement'!$D$13/'Income statement'!$C$13</definedName>
    <definedName name="ie_17">'Income statement'!$E$12/'Income statement'!$D$12</definedName>
    <definedName name="ie_18">'Income statement'!$F$13/'Income statement'!$E$13</definedName>
    <definedName name="ii_15">'Income statement'!$C$14/'Income statement'!$B$14</definedName>
    <definedName name="ii_16">'Income statement'!$D$14/'Income statement'!$C$14</definedName>
    <definedName name="ii_17">'Income statement'!$E$14/'Income statement'!$D$14</definedName>
    <definedName name="ii_18">'Income statement'!$F$14/'Income statement'!$E$14</definedName>
    <definedName name="ni_15">'Income statement'!$C$17/'Income statement'!$B$17</definedName>
    <definedName name="ni_16">'Income statement'!$D$17/'Income statement'!$C$17</definedName>
    <definedName name="ni_17">'Income statement'!$E$17/'Income statement'!$D$17</definedName>
    <definedName name="ni_18">'Income statement'!$F$17/'Income statement'!$E$17</definedName>
    <definedName name="NI_M_14">'Income statement'!$B$17/'Income statement'!$B$4</definedName>
    <definedName name="NI_M_15">'Income statement'!$C$17/'Income statement'!$C$4</definedName>
    <definedName name="NI_M_16">'Income statement'!$D$17/'Income statement'!$D$4</definedName>
    <definedName name="NI_M_17">'Income statement'!$E$17/'Income statement'!$E$4</definedName>
    <definedName name="NI_M_18">'Income statement'!$F$17/'Income statement'!$F$4</definedName>
    <definedName name="ot_15">'Income statement'!$C$9/'Income statement'!$B$9</definedName>
    <definedName name="ot_16">'Income statement'!$D$9/'Income statement'!$C$9</definedName>
    <definedName name="ot_17">'Income statement'!$E$9/'Income statement'!$D$9</definedName>
    <definedName name="ot_18">'Income statement'!$F$9/'Income statement'!$E$9</definedName>
    <definedName name="prov_15">'Income statement'!$C$16/'Income statement'!$B$16</definedName>
    <definedName name="prov_16">'Income statement'!$D$16/'Income statement'!$C$16</definedName>
    <definedName name="prov_17">'Income statement'!$E$16/'Income statement'!$D$16</definedName>
    <definedName name="prov_18">'Income statement'!$F$16/'Income statement'!$E$16</definedName>
    <definedName name="QR_14">SOFP!$B$7:$B$9/SOFP!$B$22</definedName>
    <definedName name="QR_15">SOFP!$C$7:$C$9/SOFP!$C$22</definedName>
    <definedName name="QR_16">SOFP!$D$7:$D$9/SOFP!$D$22</definedName>
    <definedName name="QR_17">SOFP!$E$7:$E$9/SOFP!$E$22</definedName>
    <definedName name="QR_18">SOFP!$F$7:$F$9/SOFP!$F$22</definedName>
    <definedName name="sga_15">'Income statement'!$C$8/'Income statement'!$B$8</definedName>
    <definedName name="sga_16">'Income statement'!$D$8/'Income statement'!$C$8</definedName>
    <definedName name="sga_17">'Income statement'!$E$8/'Income statement'!$D$8</definedName>
    <definedName name="sga_18">'Income statement'!$F$8/'Income statement'!$E$8</definedName>
    <definedName name="SGAM_14">'Income statement'!$B$8/'Income statement'!$B$4</definedName>
    <definedName name="SGAM_15">'Income statement'!$C$8/'Income statement'!$C$4</definedName>
    <definedName name="SGAM_16">'Income statement'!$D$8/'Income statement'!$D$4</definedName>
    <definedName name="SGAM_17">'Income statement'!$E$8/'Income statement'!$E$4</definedName>
    <definedName name="SGAM_18">'Income statement'!$F$8/'Income statement'!$F$4</definedName>
    <definedName name="VLOOK">'Cashflow '!$H$6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M30" i="3" l="1"/>
  <c r="M23" i="3"/>
  <c r="M15" i="3"/>
  <c r="M7" i="3"/>
  <c r="L7" i="3"/>
  <c r="L15" i="3"/>
  <c r="L23" i="3"/>
  <c r="L30" i="3"/>
  <c r="K30" i="3"/>
  <c r="K23" i="3"/>
  <c r="K15" i="3"/>
  <c r="K7" i="3"/>
  <c r="J7" i="3"/>
  <c r="J15" i="3"/>
  <c r="J23" i="3"/>
  <c r="J30" i="3"/>
  <c r="I30" i="3"/>
  <c r="I23" i="3"/>
  <c r="I15" i="3"/>
  <c r="I7" i="3"/>
  <c r="H7" i="3"/>
  <c r="H15" i="3"/>
  <c r="H23" i="3"/>
  <c r="H30" i="3"/>
  <c r="G30" i="3"/>
  <c r="G23" i="3"/>
  <c r="G15" i="3"/>
  <c r="G7" i="3"/>
  <c r="G32" i="3"/>
  <c r="H32" i="3"/>
  <c r="G33" i="3"/>
  <c r="G34" i="3"/>
  <c r="I32" i="3"/>
  <c r="G31" i="3"/>
  <c r="G27" i="3"/>
  <c r="G28" i="3"/>
  <c r="H27" i="3"/>
  <c r="G29" i="3"/>
  <c r="I27" i="3"/>
  <c r="G24" i="3"/>
  <c r="K22" i="3"/>
  <c r="G22" i="3"/>
  <c r="G21" i="3"/>
  <c r="G20" i="3"/>
  <c r="H20" i="3"/>
  <c r="G19" i="3"/>
  <c r="G14" i="3"/>
  <c r="G13" i="3"/>
  <c r="G12" i="3"/>
  <c r="G10" i="3"/>
  <c r="H10" i="3"/>
  <c r="I10" i="3"/>
  <c r="J10" i="3"/>
  <c r="K10" i="3"/>
  <c r="L10" i="3"/>
  <c r="M10" i="3" s="1"/>
  <c r="G9" i="3"/>
  <c r="G8" i="3"/>
  <c r="H8" i="3"/>
  <c r="I8" i="3"/>
  <c r="J8" i="3"/>
  <c r="K8" i="3"/>
  <c r="L8" i="3"/>
  <c r="M8" i="3" s="1"/>
  <c r="H9" i="3"/>
  <c r="I9" i="3"/>
  <c r="J9" i="3"/>
  <c r="K9" i="3"/>
  <c r="L9" i="3"/>
  <c r="M9" i="3" s="1"/>
  <c r="H12" i="3"/>
  <c r="I12" i="3"/>
  <c r="J12" i="3"/>
  <c r="K12" i="3"/>
  <c r="L12" i="3"/>
  <c r="M12" i="3" s="1"/>
  <c r="H13" i="3"/>
  <c r="I13" i="3"/>
  <c r="J13" i="3"/>
  <c r="K13" i="3"/>
  <c r="L13" i="3"/>
  <c r="M13" i="3" s="1"/>
  <c r="H14" i="3"/>
  <c r="I14" i="3"/>
  <c r="J14" i="3"/>
  <c r="K14" i="3"/>
  <c r="L14" i="3"/>
  <c r="M14" i="3" s="1"/>
  <c r="H19" i="3"/>
  <c r="I19" i="3"/>
  <c r="J19" i="3"/>
  <c r="K19" i="3"/>
  <c r="L19" i="3"/>
  <c r="M19" i="3" s="1"/>
  <c r="I20" i="3"/>
  <c r="J20" i="3"/>
  <c r="K20" i="3"/>
  <c r="L20" i="3"/>
  <c r="M20" i="3" s="1"/>
  <c r="H21" i="3"/>
  <c r="I21" i="3"/>
  <c r="J21" i="3"/>
  <c r="K21" i="3"/>
  <c r="L21" i="3"/>
  <c r="M21" i="3" s="1"/>
  <c r="H22" i="3"/>
  <c r="I22" i="3"/>
  <c r="J22" i="3"/>
  <c r="L22" i="3"/>
  <c r="M22" i="3"/>
  <c r="H24" i="3"/>
  <c r="I24" i="3"/>
  <c r="J24" i="3"/>
  <c r="K24" i="3"/>
  <c r="L24" i="3"/>
  <c r="M24" i="3" s="1"/>
  <c r="H28" i="3"/>
  <c r="J27" i="3"/>
  <c r="K27" i="3"/>
  <c r="H29" i="3"/>
  <c r="I29" i="3"/>
  <c r="I28" i="3"/>
  <c r="J28" i="3"/>
  <c r="L27" i="3"/>
  <c r="M27" i="3"/>
  <c r="J29" i="3"/>
  <c r="K28" i="3"/>
  <c r="L28" i="3"/>
  <c r="M28" i="3" s="1"/>
  <c r="K29" i="3"/>
  <c r="L29" i="3"/>
  <c r="M29" i="3" s="1"/>
  <c r="H33" i="3"/>
  <c r="H34" i="3"/>
  <c r="I34" i="3"/>
  <c r="J32" i="3"/>
  <c r="K32" i="3"/>
  <c r="H31" i="3"/>
  <c r="I31" i="3"/>
  <c r="J31" i="3"/>
  <c r="I33" i="3"/>
  <c r="J34" i="3"/>
  <c r="L32" i="3"/>
  <c r="M32" i="3" s="1"/>
  <c r="K31" i="3"/>
  <c r="L31" i="3"/>
  <c r="M31" i="3" s="1"/>
  <c r="J33" i="3"/>
  <c r="K33" i="3"/>
  <c r="L33" i="3"/>
  <c r="M33" i="3" s="1"/>
  <c r="K34" i="3"/>
  <c r="L34" i="3"/>
  <c r="M34" i="3" s="1"/>
  <c r="F11" i="2" l="1"/>
  <c r="E11" i="2"/>
  <c r="D11" i="2"/>
  <c r="C11" i="2"/>
  <c r="B11" i="2"/>
  <c r="G6" i="3"/>
  <c r="H6" i="3"/>
  <c r="I6" i="3"/>
  <c r="J6" i="3"/>
  <c r="K6" i="3"/>
  <c r="L6" i="3"/>
  <c r="M6" i="3" s="1"/>
  <c r="G3" i="2" l="1"/>
  <c r="G14" i="2" l="1"/>
  <c r="G9" i="2"/>
  <c r="G16" i="2"/>
  <c r="G13" i="2"/>
  <c r="G4" i="2"/>
  <c r="G18" i="2"/>
  <c r="G5" i="2"/>
  <c r="G19" i="2"/>
  <c r="G8" i="2"/>
  <c r="F28" i="16" l="1"/>
  <c r="E28" i="16"/>
  <c r="D28" i="16"/>
  <c r="C28" i="16"/>
  <c r="B28" i="16"/>
  <c r="F27" i="16"/>
  <c r="E27" i="16"/>
  <c r="D27" i="16"/>
  <c r="C27" i="16"/>
  <c r="B27" i="16"/>
  <c r="E24" i="16" l="1"/>
  <c r="D24" i="16"/>
  <c r="C24" i="16"/>
  <c r="B24" i="16"/>
  <c r="F23" i="16"/>
  <c r="E23" i="16"/>
  <c r="D23" i="16"/>
  <c r="C23" i="16"/>
  <c r="B23" i="16"/>
  <c r="F22" i="16"/>
  <c r="E22" i="16"/>
  <c r="D22" i="16"/>
  <c r="C22" i="16"/>
  <c r="B22" i="16"/>
  <c r="F21" i="16"/>
  <c r="E21" i="16"/>
  <c r="D21" i="16"/>
  <c r="C21" i="16"/>
  <c r="B21" i="16"/>
  <c r="F18" i="16"/>
  <c r="E18" i="16"/>
  <c r="D18" i="16"/>
  <c r="C18" i="16"/>
  <c r="F17" i="16"/>
  <c r="E17" i="16"/>
  <c r="D17" i="16"/>
  <c r="C17" i="16"/>
  <c r="F15" i="16" l="1"/>
  <c r="E15" i="16"/>
  <c r="D15" i="16"/>
  <c r="C15" i="16"/>
  <c r="F13" i="16"/>
  <c r="E13" i="16"/>
  <c r="D13" i="16"/>
  <c r="C13" i="16"/>
  <c r="F12" i="16"/>
  <c r="D12" i="16"/>
  <c r="C12" i="16"/>
  <c r="F8" i="16"/>
  <c r="E8" i="16"/>
  <c r="D8" i="16"/>
  <c r="C8" i="16"/>
  <c r="F10" i="16"/>
  <c r="E10" i="16"/>
  <c r="D10" i="16"/>
  <c r="C10" i="16"/>
  <c r="F9" i="16"/>
  <c r="E9" i="16"/>
  <c r="D9" i="16"/>
  <c r="C9" i="16"/>
  <c r="F7" i="16"/>
  <c r="E7" i="16"/>
  <c r="D7" i="16"/>
  <c r="C7" i="16"/>
  <c r="F6" i="16"/>
  <c r="D6" i="16"/>
  <c r="C6" i="16"/>
  <c r="F38" i="2" l="1"/>
  <c r="E38" i="2"/>
  <c r="D38" i="2"/>
  <c r="C38" i="2"/>
  <c r="B38" i="2"/>
  <c r="F37" i="2"/>
  <c r="E37" i="2"/>
  <c r="D37" i="2"/>
  <c r="C37" i="2"/>
  <c r="B37" i="2"/>
  <c r="C5" i="16" l="1"/>
  <c r="C6" i="2" l="1"/>
  <c r="C10" i="2" s="1"/>
  <c r="B6" i="2"/>
  <c r="B10" i="2" s="1"/>
  <c r="B12" i="2" s="1"/>
  <c r="D6" i="2"/>
  <c r="D10" i="2" s="1"/>
  <c r="D12" i="2" s="1"/>
  <c r="E4" i="16"/>
  <c r="D4" i="16"/>
  <c r="D29" i="16" l="1"/>
  <c r="C29" i="16"/>
  <c r="C25" i="16"/>
  <c r="C15" i="2"/>
  <c r="C17" i="2" s="1"/>
  <c r="B29" i="16"/>
  <c r="B25" i="16"/>
  <c r="C11" i="16"/>
  <c r="B15" i="2"/>
  <c r="D15" i="2"/>
  <c r="G6" i="2"/>
  <c r="G10" i="2" s="1"/>
  <c r="F6" i="2"/>
  <c r="E6" i="2"/>
  <c r="E10" i="2" s="1"/>
  <c r="C3" i="16"/>
  <c r="D3" i="16" s="1"/>
  <c r="E3" i="16" s="1"/>
  <c r="F3" i="16" s="1"/>
  <c r="C14" i="16" l="1"/>
  <c r="D17" i="2"/>
  <c r="D25" i="16"/>
  <c r="D14" i="16"/>
  <c r="D16" i="16"/>
  <c r="C26" i="16"/>
  <c r="B17" i="2"/>
  <c r="E12" i="2"/>
  <c r="F4" i="16"/>
  <c r="F10" i="2"/>
  <c r="C3" i="5"/>
  <c r="D3" i="5" s="1"/>
  <c r="E3" i="5" s="1"/>
  <c r="F3" i="5" s="1"/>
  <c r="G3" i="5" s="1"/>
  <c r="H3" i="5" l="1"/>
  <c r="E15" i="2"/>
  <c r="E29" i="16"/>
  <c r="F11" i="16"/>
  <c r="D11" i="16"/>
  <c r="E12" i="16"/>
  <c r="D26" i="16"/>
  <c r="B26" i="16"/>
  <c r="C16" i="16"/>
  <c r="F12" i="2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C3" i="2"/>
  <c r="D3" i="2" s="1"/>
  <c r="E3" i="2" s="1"/>
  <c r="F3" i="2" s="1"/>
  <c r="H3" i="2" s="1"/>
  <c r="D5" i="16"/>
  <c r="E5" i="16"/>
  <c r="F5" i="16"/>
  <c r="E6" i="16"/>
  <c r="G14" i="5"/>
  <c r="G17" i="5"/>
  <c r="G38" i="5"/>
  <c r="G25" i="5"/>
  <c r="G27" i="5"/>
  <c r="G45" i="5"/>
  <c r="G26" i="5"/>
  <c r="G4" i="5"/>
  <c r="G9" i="5"/>
  <c r="G46" i="5"/>
  <c r="G15" i="5"/>
  <c r="G8" i="5"/>
  <c r="G34" i="5"/>
  <c r="G42" i="5"/>
  <c r="G20" i="5"/>
  <c r="G40" i="5"/>
  <c r="G32" i="5"/>
  <c r="G6" i="5"/>
  <c r="G33" i="5"/>
  <c r="G29" i="5"/>
  <c r="G22" i="5"/>
  <c r="G13" i="5"/>
  <c r="G21" i="5"/>
  <c r="G28" i="5"/>
  <c r="G37" i="5"/>
  <c r="G44" i="5"/>
  <c r="G36" i="5"/>
  <c r="G39" i="5"/>
  <c r="G19" i="5"/>
  <c r="G10" i="5"/>
  <c r="G11" i="5"/>
  <c r="G43" i="5"/>
  <c r="G23" i="5"/>
  <c r="G35" i="5"/>
  <c r="G30" i="5"/>
  <c r="G18" i="5"/>
  <c r="G11" i="2" l="1"/>
  <c r="G12" i="2" s="1"/>
  <c r="G15" i="2" s="1"/>
  <c r="G17" i="2" s="1"/>
  <c r="E11" i="16"/>
  <c r="I3" i="5"/>
  <c r="F15" i="2"/>
  <c r="F17" i="2" s="1"/>
  <c r="F29" i="16"/>
  <c r="F25" i="16"/>
  <c r="F24" i="16"/>
  <c r="E17" i="2"/>
  <c r="E25" i="16"/>
  <c r="E14" i="16"/>
  <c r="I3" i="2"/>
  <c r="H18" i="2"/>
  <c r="H16" i="2"/>
  <c r="H5" i="2"/>
  <c r="H14" i="2"/>
  <c r="H19" i="2"/>
  <c r="H9" i="2"/>
  <c r="H4" i="2"/>
  <c r="H13" i="2"/>
  <c r="H8" i="2"/>
  <c r="H22" i="5"/>
  <c r="H15" i="5"/>
  <c r="H11" i="5"/>
  <c r="H35" i="5"/>
  <c r="H43" i="5"/>
  <c r="H25" i="5"/>
  <c r="H32" i="5"/>
  <c r="H33" i="5"/>
  <c r="H45" i="5"/>
  <c r="H6" i="5"/>
  <c r="H23" i="5"/>
  <c r="H8" i="5"/>
  <c r="H14" i="5"/>
  <c r="H17" i="5"/>
  <c r="H30" i="5"/>
  <c r="H38" i="5"/>
  <c r="H19" i="5"/>
  <c r="H21" i="5"/>
  <c r="H28" i="5"/>
  <c r="H36" i="5"/>
  <c r="H9" i="5"/>
  <c r="H27" i="5"/>
  <c r="H13" i="5"/>
  <c r="H44" i="5"/>
  <c r="H26" i="5"/>
  <c r="H34" i="5"/>
  <c r="H42" i="5"/>
  <c r="H46" i="5"/>
  <c r="H10" i="5"/>
  <c r="H39" i="5"/>
  <c r="H20" i="5"/>
  <c r="H29" i="5"/>
  <c r="H40" i="5"/>
  <c r="H37" i="5"/>
  <c r="H18" i="5"/>
  <c r="H4" i="5"/>
  <c r="H11" i="2" l="1"/>
  <c r="F14" i="16"/>
  <c r="J3" i="5"/>
  <c r="F26" i="16"/>
  <c r="F16" i="16"/>
  <c r="E26" i="16"/>
  <c r="E16" i="16"/>
  <c r="H6" i="2"/>
  <c r="H10" i="2" s="1"/>
  <c r="H12" i="2" s="1"/>
  <c r="H15" i="2" s="1"/>
  <c r="H17" i="2" s="1"/>
  <c r="J3" i="2"/>
  <c r="I19" i="2"/>
  <c r="I13" i="2"/>
  <c r="I16" i="2"/>
  <c r="I4" i="2"/>
  <c r="I8" i="2"/>
  <c r="I9" i="2"/>
  <c r="I18" i="2"/>
  <c r="I14" i="2"/>
  <c r="I5" i="2"/>
  <c r="I11" i="5"/>
  <c r="I15" i="5"/>
  <c r="I43" i="5"/>
  <c r="I25" i="5"/>
  <c r="I42" i="5"/>
  <c r="I23" i="5"/>
  <c r="I45" i="5"/>
  <c r="I27" i="5"/>
  <c r="I39" i="5"/>
  <c r="I17" i="5"/>
  <c r="I13" i="5"/>
  <c r="I38" i="5"/>
  <c r="I19" i="5"/>
  <c r="I37" i="5"/>
  <c r="I18" i="5"/>
  <c r="I40" i="5"/>
  <c r="I21" i="5"/>
  <c r="I30" i="5"/>
  <c r="I10" i="5"/>
  <c r="I8" i="5"/>
  <c r="I29" i="5"/>
  <c r="I46" i="5"/>
  <c r="I28" i="5"/>
  <c r="I26" i="5"/>
  <c r="I32" i="5"/>
  <c r="I44" i="5"/>
  <c r="I4" i="5"/>
  <c r="I22" i="5"/>
  <c r="I14" i="5"/>
  <c r="I34" i="5"/>
  <c r="I20" i="5"/>
  <c r="I33" i="5"/>
  <c r="I35" i="5"/>
  <c r="I36" i="5"/>
  <c r="I9" i="5"/>
  <c r="I6" i="5"/>
  <c r="I11" i="2" l="1"/>
  <c r="K3" i="5"/>
  <c r="I6" i="2"/>
  <c r="I10" i="2" s="1"/>
  <c r="I12" i="2" s="1"/>
  <c r="I15" i="2" s="1"/>
  <c r="I17" i="2" s="1"/>
  <c r="K3" i="2"/>
  <c r="J14" i="2"/>
  <c r="J4" i="2"/>
  <c r="J18" i="2"/>
  <c r="J9" i="2"/>
  <c r="J19" i="2"/>
  <c r="J16" i="2"/>
  <c r="J5" i="2"/>
  <c r="J8" i="2"/>
  <c r="J13" i="2"/>
  <c r="J8" i="5"/>
  <c r="J21" i="5"/>
  <c r="J34" i="5"/>
  <c r="J20" i="5"/>
  <c r="J33" i="5"/>
  <c r="J35" i="5"/>
  <c r="J40" i="5"/>
  <c r="J39" i="5"/>
  <c r="J14" i="5"/>
  <c r="J29" i="5"/>
  <c r="J28" i="5"/>
  <c r="J36" i="5"/>
  <c r="J15" i="5"/>
  <c r="J11" i="5"/>
  <c r="J10" i="5"/>
  <c r="J43" i="5"/>
  <c r="J25" i="5"/>
  <c r="J42" i="5"/>
  <c r="J23" i="5"/>
  <c r="J19" i="5"/>
  <c r="J32" i="5"/>
  <c r="J6" i="5"/>
  <c r="J17" i="5"/>
  <c r="J22" i="5"/>
  <c r="J38" i="5"/>
  <c r="J44" i="5"/>
  <c r="J37" i="5"/>
  <c r="J18" i="5"/>
  <c r="J45" i="5"/>
  <c r="J27" i="5"/>
  <c r="J4" i="5"/>
  <c r="J13" i="5"/>
  <c r="J9" i="5"/>
  <c r="J46" i="5"/>
  <c r="J26" i="5"/>
  <c r="J30" i="5"/>
  <c r="J11" i="2" l="1"/>
  <c r="L3" i="5"/>
  <c r="J6" i="2"/>
  <c r="J10" i="2" s="1"/>
  <c r="L3" i="2"/>
  <c r="K13" i="2"/>
  <c r="K18" i="2"/>
  <c r="K16" i="2"/>
  <c r="K5" i="2"/>
  <c r="K14" i="2"/>
  <c r="K19" i="2"/>
  <c r="K9" i="2"/>
  <c r="K4" i="2"/>
  <c r="K8" i="2"/>
  <c r="K10" i="5"/>
  <c r="K17" i="5"/>
  <c r="K40" i="5"/>
  <c r="K21" i="5"/>
  <c r="K39" i="5"/>
  <c r="K20" i="5"/>
  <c r="K43" i="5"/>
  <c r="K25" i="5"/>
  <c r="K23" i="5"/>
  <c r="K14" i="5"/>
  <c r="K8" i="5"/>
  <c r="K36" i="5"/>
  <c r="K9" i="5"/>
  <c r="K35" i="5"/>
  <c r="K46" i="5"/>
  <c r="K38" i="5"/>
  <c r="K19" i="5"/>
  <c r="K6" i="5"/>
  <c r="K22" i="5"/>
  <c r="K45" i="5"/>
  <c r="K44" i="5"/>
  <c r="K29" i="5"/>
  <c r="K13" i="5"/>
  <c r="K15" i="5"/>
  <c r="K32" i="5"/>
  <c r="K33" i="5"/>
  <c r="K30" i="5"/>
  <c r="K28" i="5"/>
  <c r="K34" i="5"/>
  <c r="K42" i="5"/>
  <c r="K4" i="5"/>
  <c r="K11" i="5"/>
  <c r="K27" i="5"/>
  <c r="K26" i="5"/>
  <c r="K18" i="5"/>
  <c r="K37" i="5"/>
  <c r="K11" i="2" l="1"/>
  <c r="M3" i="5"/>
  <c r="J12" i="2"/>
  <c r="J15" i="2" s="1"/>
  <c r="J17" i="2" s="1"/>
  <c r="K6" i="2"/>
  <c r="K10" i="2" s="1"/>
  <c r="K12" i="2" s="1"/>
  <c r="K15" i="2" s="1"/>
  <c r="K17" i="2" s="1"/>
  <c r="M3" i="2"/>
  <c r="L16" i="2"/>
  <c r="L5" i="2"/>
  <c r="L14" i="2"/>
  <c r="L18" i="2"/>
  <c r="L8" i="2"/>
  <c r="L13" i="2"/>
  <c r="L9" i="2"/>
  <c r="L4" i="2"/>
  <c r="L19" i="2"/>
  <c r="L22" i="5"/>
  <c r="L11" i="5"/>
  <c r="L43" i="5"/>
  <c r="L25" i="5"/>
  <c r="L46" i="5"/>
  <c r="L28" i="5"/>
  <c r="L30" i="5"/>
  <c r="L32" i="5"/>
  <c r="L39" i="5"/>
  <c r="L10" i="5"/>
  <c r="L17" i="5"/>
  <c r="L38" i="5"/>
  <c r="L19" i="5"/>
  <c r="L42" i="5"/>
  <c r="L23" i="5"/>
  <c r="L45" i="5"/>
  <c r="L27" i="5"/>
  <c r="L26" i="5"/>
  <c r="L14" i="5"/>
  <c r="L8" i="5"/>
  <c r="L34" i="5"/>
  <c r="L35" i="5"/>
  <c r="L37" i="5"/>
  <c r="L18" i="5"/>
  <c r="L40" i="5"/>
  <c r="L21" i="5"/>
  <c r="L4" i="5"/>
  <c r="L13" i="5"/>
  <c r="L15" i="5"/>
  <c r="L29" i="5"/>
  <c r="L20" i="5"/>
  <c r="L33" i="5"/>
  <c r="L44" i="5"/>
  <c r="L36" i="5"/>
  <c r="L9" i="5"/>
  <c r="L6" i="5"/>
  <c r="L11" i="2" l="1"/>
  <c r="L6" i="2"/>
  <c r="L10" i="2" s="1"/>
  <c r="L12" i="2" s="1"/>
  <c r="L15" i="2" s="1"/>
  <c r="L17" i="2" s="1"/>
  <c r="M18" i="2"/>
  <c r="M14" i="2"/>
  <c r="M5" i="2"/>
  <c r="M9" i="2"/>
  <c r="M4" i="2"/>
  <c r="M8" i="2"/>
  <c r="M16" i="2"/>
  <c r="M19" i="2"/>
  <c r="M13" i="2"/>
  <c r="M15" i="5"/>
  <c r="M10" i="5"/>
  <c r="M45" i="5"/>
  <c r="M27" i="5"/>
  <c r="M44" i="5"/>
  <c r="M26" i="5"/>
  <c r="M18" i="5"/>
  <c r="M29" i="5"/>
  <c r="M38" i="5"/>
  <c r="M9" i="5"/>
  <c r="M46" i="5"/>
  <c r="M19" i="5"/>
  <c r="M28" i="5"/>
  <c r="M33" i="5"/>
  <c r="M4" i="5"/>
  <c r="M13" i="5"/>
  <c r="M14" i="5"/>
  <c r="M40" i="5"/>
  <c r="M21" i="5"/>
  <c r="M39" i="5"/>
  <c r="M20" i="5"/>
  <c r="M43" i="5"/>
  <c r="M25" i="5"/>
  <c r="M23" i="5"/>
  <c r="M8" i="5"/>
  <c r="M11" i="5"/>
  <c r="M36" i="5"/>
  <c r="M35" i="5"/>
  <c r="M37" i="5"/>
  <c r="M6" i="5"/>
  <c r="M22" i="5"/>
  <c r="M17" i="5"/>
  <c r="M32" i="5"/>
  <c r="M30" i="5"/>
  <c r="M34" i="5"/>
  <c r="M42" i="5"/>
  <c r="M11" i="2" l="1"/>
  <c r="M6" i="2"/>
  <c r="M10" i="2" s="1"/>
  <c r="M12" i="2" s="1"/>
  <c r="M15" i="2" s="1"/>
  <c r="M17" i="2" s="1"/>
</calcChain>
</file>

<file path=xl/sharedStrings.xml><?xml version="1.0" encoding="utf-8"?>
<sst xmlns="http://schemas.openxmlformats.org/spreadsheetml/2006/main" count="144" uniqueCount="125">
  <si>
    <t>FINANCIAL MODEL - AMAZON</t>
  </si>
  <si>
    <t>INCOME STATEMENT</t>
  </si>
  <si>
    <t>($ in Million Except Per Share Amounts)</t>
  </si>
  <si>
    <t>Net sales</t>
  </si>
  <si>
    <t>Cost of sales</t>
  </si>
  <si>
    <t>Selling, general and administrative expenses</t>
  </si>
  <si>
    <t>EBITDA</t>
  </si>
  <si>
    <t>Other income/(expenses), net</t>
  </si>
  <si>
    <t>GROSS PROFIT</t>
  </si>
  <si>
    <t>HISTORICAL</t>
  </si>
  <si>
    <t>PROJECTED</t>
  </si>
  <si>
    <t>EBIT</t>
  </si>
  <si>
    <t>Interest Expense</t>
  </si>
  <si>
    <t>Interest Income</t>
  </si>
  <si>
    <t>EBT</t>
  </si>
  <si>
    <t>Provision for income tax</t>
  </si>
  <si>
    <t>Earnings per common share, basic</t>
  </si>
  <si>
    <t>Earnings per common share, diluted</t>
  </si>
  <si>
    <t>Current Assets</t>
  </si>
  <si>
    <t xml:space="preserve">    Total current assets</t>
  </si>
  <si>
    <t>Deferred income taxes</t>
  </si>
  <si>
    <t>Other assets</t>
  </si>
  <si>
    <t>Total assets</t>
  </si>
  <si>
    <t>Long-term debt</t>
  </si>
  <si>
    <t>Inventories</t>
  </si>
  <si>
    <t>CONSOLIDATED CASHFLOW STATEMENT</t>
  </si>
  <si>
    <t>Other income/(expenses), net. Growth</t>
  </si>
  <si>
    <t>EBITDA Growth</t>
  </si>
  <si>
    <t>EBIT Growth</t>
  </si>
  <si>
    <t>Interest Expense Growth</t>
  </si>
  <si>
    <t>Interest Income Growth</t>
  </si>
  <si>
    <t>EBT Growth</t>
  </si>
  <si>
    <t>Provision for income tax Growth</t>
  </si>
  <si>
    <t>Total operating expenses</t>
  </si>
  <si>
    <t>Depreciation of property and equipment, including internal-use software and website development, and other amortization, including capitalized content costs</t>
  </si>
  <si>
    <t>COST OF GOODS SOLD</t>
  </si>
  <si>
    <t>Net income</t>
  </si>
  <si>
    <t>Depreciation, amortization, impairment loss growth</t>
  </si>
  <si>
    <t>net income growth</t>
  </si>
  <si>
    <t xml:space="preserve">INCOME STATEMENT </t>
  </si>
  <si>
    <t>Net sales Growth</t>
  </si>
  <si>
    <t>Cost of goods sold growth</t>
  </si>
  <si>
    <t>Gross profit growth</t>
  </si>
  <si>
    <t>Cost of goods sold margin</t>
  </si>
  <si>
    <t>Gross profit margin</t>
  </si>
  <si>
    <t>SG&amp;A margin</t>
  </si>
  <si>
    <t>EBITDA margin</t>
  </si>
  <si>
    <t>EBIT margin</t>
  </si>
  <si>
    <t>Net income margin</t>
  </si>
  <si>
    <t>Current ratio</t>
  </si>
  <si>
    <t>Quick ratio</t>
  </si>
  <si>
    <t>Cash and cash equivalents</t>
  </si>
  <si>
    <t>Marketable securities</t>
  </si>
  <si>
    <t>Accounts receivable, net and other</t>
  </si>
  <si>
    <t>Property and equipment, net</t>
  </si>
  <si>
    <t>Goodwill</t>
  </si>
  <si>
    <t>LIABILITIES AND EQUITIES</t>
  </si>
  <si>
    <t>Current liabilities:</t>
  </si>
  <si>
    <t>Accounts payable</t>
  </si>
  <si>
    <t>Accrued expenses and other</t>
  </si>
  <si>
    <t>Unearned revenue</t>
  </si>
  <si>
    <t>Total current liabilities</t>
  </si>
  <si>
    <t>Other long-term liabilities</t>
  </si>
  <si>
    <t xml:space="preserve"> </t>
  </si>
  <si>
    <t xml:space="preserve">Commitments and contingencies </t>
  </si>
  <si>
    <t>Stockholders’ equity:</t>
  </si>
  <si>
    <t>Treasury stock, at cost</t>
  </si>
  <si>
    <t>Additional paid-in capital</t>
  </si>
  <si>
    <t>Accumulated other comprehensive loss</t>
  </si>
  <si>
    <t>Retained earnings</t>
  </si>
  <si>
    <t>Total stockholders’ equity</t>
  </si>
  <si>
    <t>Total liabilities and stockholders’ equity</t>
  </si>
  <si>
    <t>Common stock, $0.01 par value</t>
  </si>
  <si>
    <t>Preferred stock, $0.01 par value</t>
  </si>
  <si>
    <t>  </t>
  </si>
  <si>
    <t>Interest cover</t>
  </si>
  <si>
    <t>ASSETS</t>
  </si>
  <si>
    <t>CASH, CASH EQUIVALENTS, AND RESTRICTED CASH, BEGINNING OF PERIOD</t>
  </si>
  <si>
    <t>OPERATING ACTIVITIES:</t>
  </si>
  <si>
    <t>Adjustments to reconcile net income to net cash from operating activities:</t>
  </si>
  <si>
    <t>Depreciation of property and equipment and other amortization, including capitalized content costs</t>
  </si>
  <si>
    <t>Stock-based compensation</t>
  </si>
  <si>
    <t>Other operating expense, net</t>
  </si>
  <si>
    <t>Other expense (income), net</t>
  </si>
  <si>
    <t>Changes in operating assets and liabilities:</t>
  </si>
  <si>
    <t>Net cash provided by (used in) operating activities</t>
  </si>
  <si>
    <t>INVESTING ACTIVITIES:</t>
  </si>
  <si>
    <t>Purchases of property and equipment</t>
  </si>
  <si>
    <t>Proceeds from property and equipment incentives</t>
  </si>
  <si>
    <t>Acquisitions, net of cash acquired, and other</t>
  </si>
  <si>
    <t>Sales and maturities of marketable securities</t>
  </si>
  <si>
    <t>Purchases of marketable securities</t>
  </si>
  <si>
    <t>Net cash provided by (used in) investing activities</t>
  </si>
  <si>
    <t>FINANCING ACTIVITIES:</t>
  </si>
  <si>
    <t>Proceeds from long-term debt and other</t>
  </si>
  <si>
    <t>Repayments of long-term debt and other</t>
  </si>
  <si>
    <t>Principal repayments of capital lease obligations</t>
  </si>
  <si>
    <t>Principal repayments of finance lease obligations</t>
  </si>
  <si>
    <t>Net cash provided by (used in) financing activities</t>
  </si>
  <si>
    <t>Foreign currency effect on cash, cash equivalents, and restricted cash</t>
  </si>
  <si>
    <t>Net increase (decrease) in cash, cash equivalents, and restricted cash</t>
  </si>
  <si>
    <t>CASH, CASH EQUIVALENTS, AND RESTRICTED CASH, END OF PERIOD</t>
  </si>
  <si>
    <t>SUPPLEMENTAL CASH FLOW INFORMATION:</t>
  </si>
  <si>
    <t>Cash paid for interest on long-term debt</t>
  </si>
  <si>
    <t>Cash paid for interest on capital and finance lease obligations</t>
  </si>
  <si>
    <t>Cash paid for income taxes, net of refunds</t>
  </si>
  <si>
    <t>Property and equipment acquired under capital leases</t>
  </si>
  <si>
    <t>Property and equipment acquired under build-to-suit leases</t>
  </si>
  <si>
    <t>Excess tax benefits from stock-based compensation</t>
  </si>
  <si>
    <t>Amortization of previously unearned revenue</t>
  </si>
  <si>
    <t>Losses (gains) on sales of marketable securities, net</t>
  </si>
  <si>
    <t>RATIO OR VERTICAL ANALYSIS</t>
  </si>
  <si>
    <t>TREND/HORIZONTAL ANALYSIS</t>
  </si>
  <si>
    <t>Company Name:</t>
  </si>
  <si>
    <t>Ticker:</t>
  </si>
  <si>
    <t>Current Share Price:</t>
  </si>
  <si>
    <t>Last Historical Year:</t>
  </si>
  <si>
    <t>AMAZON.COM, INC.</t>
  </si>
  <si>
    <t>AMZN</t>
  </si>
  <si>
    <t>Dec. 31, 2018</t>
  </si>
  <si>
    <t>ASSUMPTIONS</t>
  </si>
  <si>
    <t>All projected figures were derived based on historical figures from Dec 2014 to Dec 2018 and projected based on the exponentional amoothing method</t>
  </si>
  <si>
    <t>$1729.56</t>
  </si>
  <si>
    <t>($ in Million )</t>
  </si>
  <si>
    <t>($ in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</si>
</sst>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&quot;£&quot;#,##0.00"/>
    <numFmt numFmtId="166" formatCode="_(&quot;$&quot;* #,##0.00_);_(&quot;$&quot;* \(#,##0.00\);_(&quot;$&quot;* &quot;-&quot;??_);_(@_)"/>
    <numFmt numFmtId="167" formatCode="yyyy\-mm\-dd"/>
  </numFmts>
  <fonts count="22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4" fillId="0" borderId="0" applyFont="0" applyFill="0" applyBorder="0" applyAlignment="0" applyProtection="0"/>
    <xf numFmtId="0" fontId="14" fillId="2" borderId="36" applyNumberFormat="0" applyFont="0" applyAlignment="0" applyProtection="0"/>
  </cellStyleXfs>
  <cellXfs count="154">
    <xf numFmtId="0" fontId="0" fillId="0" borderId="0" xfId="0"/>
    <xf numFmtId="0" fontId="2" fillId="0" borderId="0" xfId="0" applyFont="1" applyFill="1"/>
    <xf numFmtId="0" fontId="0" fillId="0" borderId="0" xfId="0" applyBorder="1"/>
    <xf numFmtId="0" fontId="2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2" xfId="0" applyFont="1" applyFill="1" applyBorder="1"/>
    <xf numFmtId="0" fontId="4" fillId="0" borderId="0" xfId="0" applyFont="1" applyFill="1" applyBorder="1"/>
    <xf numFmtId="0" fontId="5" fillId="0" borderId="2" xfId="0" applyFont="1" applyBorder="1"/>
    <xf numFmtId="0" fontId="4" fillId="0" borderId="1" xfId="0" applyFont="1" applyFill="1" applyBorder="1"/>
    <xf numFmtId="0" fontId="6" fillId="0" borderId="0" xfId="0" applyFont="1"/>
    <xf numFmtId="0" fontId="5" fillId="0" borderId="0" xfId="0" applyFont="1"/>
    <xf numFmtId="0" fontId="5" fillId="0" borderId="4" xfId="0" applyFont="1" applyBorder="1"/>
    <xf numFmtId="0" fontId="4" fillId="0" borderId="1" xfId="0" applyFont="1" applyBorder="1"/>
    <xf numFmtId="164" fontId="7" fillId="0" borderId="1" xfId="0" applyNumberFormat="1" applyFont="1" applyBorder="1"/>
    <xf numFmtId="0" fontId="5" fillId="0" borderId="3" xfId="0" applyFont="1" applyBorder="1"/>
    <xf numFmtId="0" fontId="5" fillId="0" borderId="0" xfId="0" applyFont="1" applyBorder="1"/>
    <xf numFmtId="0" fontId="4" fillId="0" borderId="2" xfId="0" quotePrefix="1" applyFont="1" applyFill="1" applyBorder="1" applyAlignment="1">
      <alignment horizontal="left"/>
    </xf>
    <xf numFmtId="0" fontId="5" fillId="0" borderId="4" xfId="0" applyFont="1" applyBorder="1" applyAlignment="1"/>
    <xf numFmtId="164" fontId="7" fillId="0" borderId="8" xfId="0" applyNumberFormat="1" applyFont="1" applyBorder="1"/>
    <xf numFmtId="0" fontId="5" fillId="0" borderId="12" xfId="0" applyFont="1" applyBorder="1"/>
    <xf numFmtId="164" fontId="7" fillId="0" borderId="10" xfId="0" applyNumberFormat="1" applyFont="1" applyBorder="1"/>
    <xf numFmtId="0" fontId="8" fillId="0" borderId="0" xfId="0" applyFont="1"/>
    <xf numFmtId="0" fontId="11" fillId="0" borderId="0" xfId="0" applyFont="1"/>
    <xf numFmtId="0" fontId="4" fillId="0" borderId="10" xfId="0" applyFont="1" applyBorder="1"/>
    <xf numFmtId="0" fontId="12" fillId="0" borderId="0" xfId="0" applyFont="1"/>
    <xf numFmtId="0" fontId="8" fillId="0" borderId="0" xfId="0" applyFont="1" applyBorder="1"/>
    <xf numFmtId="9" fontId="0" fillId="0" borderId="0" xfId="2" applyFont="1"/>
    <xf numFmtId="37" fontId="15" fillId="0" borderId="0" xfId="0" applyNumberFormat="1" applyFont="1" applyAlignment="1">
      <alignment horizontal="righ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37" fontId="5" fillId="0" borderId="0" xfId="0" applyNumberFormat="1" applyFont="1"/>
    <xf numFmtId="0" fontId="4" fillId="0" borderId="18" xfId="0" quotePrefix="1" applyFont="1" applyFill="1" applyBorder="1" applyAlignment="1">
      <alignment horizontal="left"/>
    </xf>
    <xf numFmtId="164" fontId="7" fillId="0" borderId="24" xfId="0" applyNumberFormat="1" applyFont="1" applyBorder="1"/>
    <xf numFmtId="0" fontId="0" fillId="0" borderId="26" xfId="0" applyBorder="1"/>
    <xf numFmtId="0" fontId="0" fillId="0" borderId="28" xfId="0" applyBorder="1"/>
    <xf numFmtId="0" fontId="4" fillId="0" borderId="28" xfId="0" applyFont="1" applyFill="1" applyBorder="1"/>
    <xf numFmtId="0" fontId="4" fillId="0" borderId="26" xfId="0" applyFont="1" applyFill="1" applyBorder="1"/>
    <xf numFmtId="0" fontId="5" fillId="0" borderId="26" xfId="0" applyFont="1" applyBorder="1"/>
    <xf numFmtId="0" fontId="4" fillId="0" borderId="29" xfId="0" applyFont="1" applyFill="1" applyBorder="1"/>
    <xf numFmtId="0" fontId="4" fillId="0" borderId="30" xfId="0" applyFont="1" applyFill="1" applyBorder="1"/>
    <xf numFmtId="0" fontId="4" fillId="0" borderId="11" xfId="0" applyFont="1" applyFill="1" applyBorder="1"/>
    <xf numFmtId="0" fontId="17" fillId="0" borderId="0" xfId="0" applyFont="1"/>
    <xf numFmtId="0" fontId="2" fillId="0" borderId="0" xfId="0" quotePrefix="1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left"/>
    </xf>
    <xf numFmtId="165" fontId="0" fillId="0" borderId="3" xfId="0" applyNumberFormat="1" applyBorder="1"/>
    <xf numFmtId="165" fontId="0" fillId="0" borderId="0" xfId="0" applyNumberFormat="1" applyBorder="1"/>
    <xf numFmtId="165" fontId="0" fillId="0" borderId="11" xfId="0" applyNumberFormat="1" applyBorder="1"/>
    <xf numFmtId="0" fontId="18" fillId="0" borderId="0" xfId="0" applyFont="1" applyAlignment="1">
      <alignment vertical="top" wrapText="1"/>
    </xf>
    <xf numFmtId="37" fontId="18" fillId="0" borderId="0" xfId="0" applyNumberFormat="1" applyFont="1" applyAlignment="1">
      <alignment horizontal="right" vertical="top"/>
    </xf>
    <xf numFmtId="37" fontId="18" fillId="0" borderId="2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" fillId="0" borderId="0" xfId="0" quotePrefix="1" applyFont="1" applyFill="1" applyBorder="1" applyAlignment="1">
      <alignment horizontal="left" wrapText="1" indent="4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8" fillId="0" borderId="14" xfId="0" applyFont="1" applyBorder="1" applyAlignment="1">
      <alignment vertical="top" wrapText="1"/>
    </xf>
    <xf numFmtId="0" fontId="3" fillId="0" borderId="31" xfId="0" applyFont="1" applyBorder="1"/>
    <xf numFmtId="0" fontId="3" fillId="0" borderId="12" xfId="0" quotePrefix="1" applyFont="1" applyFill="1" applyBorder="1" applyAlignment="1">
      <alignment horizontal="left" wrapText="1"/>
    </xf>
    <xf numFmtId="0" fontId="19" fillId="0" borderId="11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165" fontId="0" fillId="0" borderId="27" xfId="0" applyNumberFormat="1" applyBorder="1"/>
    <xf numFmtId="165" fontId="0" fillId="0" borderId="32" xfId="0" applyNumberFormat="1" applyBorder="1"/>
    <xf numFmtId="165" fontId="0" fillId="0" borderId="33" xfId="0" applyNumberFormat="1" applyBorder="1"/>
    <xf numFmtId="0" fontId="0" fillId="0" borderId="25" xfId="0" applyBorder="1"/>
    <xf numFmtId="0" fontId="0" fillId="0" borderId="1" xfId="0" applyBorder="1"/>
    <xf numFmtId="0" fontId="0" fillId="0" borderId="24" xfId="0" applyBorder="1"/>
    <xf numFmtId="0" fontId="3" fillId="0" borderId="0" xfId="0" applyFont="1" applyFill="1"/>
    <xf numFmtId="0" fontId="19" fillId="0" borderId="0" xfId="0" applyFont="1" applyAlignment="1">
      <alignment vertical="top" wrapText="1"/>
    </xf>
    <xf numFmtId="0" fontId="3" fillId="0" borderId="0" xfId="1" applyFont="1" applyFill="1" applyBorder="1"/>
    <xf numFmtId="0" fontId="2" fillId="0" borderId="0" xfId="1" applyFont="1" applyFill="1" applyBorder="1"/>
    <xf numFmtId="0" fontId="18" fillId="0" borderId="13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20" fillId="0" borderId="0" xfId="0" applyFont="1"/>
    <xf numFmtId="39" fontId="21" fillId="3" borderId="37" xfId="3" applyNumberFormat="1" applyFont="1" applyFill="1" applyBorder="1" applyAlignment="1">
      <alignment horizontal="centerContinuous"/>
    </xf>
    <xf numFmtId="39" fontId="21" fillId="3" borderId="36" xfId="3" applyNumberFormat="1" applyFont="1" applyFill="1" applyBorder="1" applyAlignment="1">
      <alignment horizontal="centerContinuous"/>
    </xf>
    <xf numFmtId="0" fontId="21" fillId="3" borderId="36" xfId="3" applyFont="1" applyFill="1" applyAlignment="1">
      <alignment horizontal="center"/>
    </xf>
    <xf numFmtId="166" fontId="21" fillId="3" borderId="36" xfId="3" applyNumberFormat="1" applyFont="1" applyFill="1" applyAlignment="1">
      <alignment horizontal="center"/>
    </xf>
    <xf numFmtId="0" fontId="20" fillId="0" borderId="0" xfId="0" applyFont="1" applyBorder="1" applyAlignment="1"/>
    <xf numFmtId="167" fontId="21" fillId="3" borderId="36" xfId="3" applyNumberFormat="1" applyFont="1" applyFill="1" applyAlignment="1">
      <alignment horizontal="center"/>
    </xf>
    <xf numFmtId="9" fontId="0" fillId="0" borderId="0" xfId="2" applyFont="1" applyBorder="1"/>
    <xf numFmtId="9" fontId="13" fillId="0" borderId="0" xfId="2" quotePrefix="1" applyFont="1" applyBorder="1"/>
    <xf numFmtId="9" fontId="0" fillId="0" borderId="25" xfId="2" applyFont="1" applyBorder="1"/>
    <xf numFmtId="9" fontId="0" fillId="0" borderId="1" xfId="2" applyFont="1" applyBorder="1"/>
    <xf numFmtId="9" fontId="0" fillId="0" borderId="24" xfId="2" applyFont="1" applyBorder="1"/>
    <xf numFmtId="4" fontId="0" fillId="0" borderId="0" xfId="0" applyNumberFormat="1"/>
    <xf numFmtId="4" fontId="5" fillId="0" borderId="0" xfId="0" applyNumberFormat="1" applyFont="1" applyBorder="1"/>
    <xf numFmtId="4" fontId="0" fillId="0" borderId="4" xfId="0" applyNumberFormat="1" applyBorder="1"/>
    <xf numFmtId="4" fontId="5" fillId="0" borderId="3" xfId="0" applyNumberFormat="1" applyFont="1" applyBorder="1"/>
    <xf numFmtId="4" fontId="15" fillId="0" borderId="0" xfId="0" applyNumberFormat="1" applyFont="1" applyAlignment="1">
      <alignment horizontal="right" vertical="top"/>
    </xf>
    <xf numFmtId="4" fontId="5" fillId="0" borderId="6" xfId="0" applyNumberFormat="1" applyFont="1" applyBorder="1"/>
    <xf numFmtId="4" fontId="5" fillId="0" borderId="11" xfId="0" applyNumberFormat="1" applyFont="1" applyBorder="1"/>
    <xf numFmtId="4" fontId="5" fillId="0" borderId="9" xfId="0" applyNumberFormat="1" applyFont="1" applyBorder="1"/>
    <xf numFmtId="4" fontId="5" fillId="0" borderId="0" xfId="0" applyNumberFormat="1" applyFont="1"/>
    <xf numFmtId="4" fontId="5" fillId="0" borderId="19" xfId="0" applyNumberFormat="1" applyFont="1" applyBorder="1"/>
    <xf numFmtId="4" fontId="5" fillId="0" borderId="20" xfId="0" applyNumberFormat="1" applyFont="1" applyBorder="1"/>
    <xf numFmtId="4" fontId="5" fillId="0" borderId="8" xfId="0" applyNumberFormat="1" applyFont="1" applyBorder="1"/>
    <xf numFmtId="4" fontId="5" fillId="0" borderId="1" xfId="0" applyNumberFormat="1" applyFont="1" applyBorder="1"/>
    <xf numFmtId="4" fontId="5" fillId="0" borderId="10" xfId="0" applyNumberFormat="1" applyFont="1" applyBorder="1"/>
    <xf numFmtId="4" fontId="0" fillId="0" borderId="0" xfId="0" applyNumberFormat="1" applyAlignment="1">
      <alignment wrapText="1"/>
    </xf>
    <xf numFmtId="4" fontId="18" fillId="0" borderId="0" xfId="0" applyNumberFormat="1" applyFont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4" fontId="0" fillId="0" borderId="3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6" xfId="0" applyNumberFormat="1" applyBorder="1" applyAlignment="1">
      <alignment wrapText="1"/>
    </xf>
    <xf numFmtId="4" fontId="18" fillId="0" borderId="2" xfId="0" applyNumberFormat="1" applyFont="1" applyBorder="1" applyAlignment="1">
      <alignment horizontal="right" vertical="top"/>
    </xf>
    <xf numFmtId="4" fontId="18" fillId="0" borderId="5" xfId="0" applyNumberFormat="1" applyFont="1" applyBorder="1" applyAlignment="1">
      <alignment horizontal="right" vertical="top"/>
    </xf>
    <xf numFmtId="4" fontId="0" fillId="0" borderId="6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15" xfId="0" applyNumberFormat="1" applyBorder="1"/>
    <xf numFmtId="4" fontId="0" fillId="0" borderId="13" xfId="0" applyNumberFormat="1" applyBorder="1" applyAlignment="1">
      <alignment wrapText="1"/>
    </xf>
    <xf numFmtId="4" fontId="18" fillId="0" borderId="13" xfId="0" applyNumberFormat="1" applyFont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4" fontId="0" fillId="0" borderId="17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18" fillId="0" borderId="11" xfId="0" applyNumberFormat="1" applyFont="1" applyBorder="1" applyAlignment="1">
      <alignment horizontal="right" vertical="top"/>
    </xf>
    <xf numFmtId="4" fontId="0" fillId="0" borderId="15" xfId="0" applyNumberFormat="1" applyBorder="1" applyAlignment="1">
      <alignment wrapText="1"/>
    </xf>
    <xf numFmtId="4" fontId="18" fillId="0" borderId="0" xfId="0" applyNumberFormat="1" applyFont="1" applyAlignment="1">
      <alignment vertical="top" wrapText="1"/>
    </xf>
    <xf numFmtId="4" fontId="18" fillId="0" borderId="11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wrapText="1"/>
    </xf>
    <xf numFmtId="4" fontId="18" fillId="0" borderId="4" xfId="0" applyNumberFormat="1" applyFont="1" applyBorder="1" applyAlignment="1">
      <alignment horizontal="right" vertical="top"/>
    </xf>
    <xf numFmtId="4" fontId="18" fillId="0" borderId="12" xfId="0" applyNumberFormat="1" applyFont="1" applyBorder="1" applyAlignment="1">
      <alignment horizontal="right" vertical="top"/>
    </xf>
    <xf numFmtId="4" fontId="0" fillId="0" borderId="7" xfId="0" applyNumberFormat="1" applyBorder="1"/>
    <xf numFmtId="4" fontId="0" fillId="0" borderId="12" xfId="0" applyNumberFormat="1" applyBorder="1"/>
    <xf numFmtId="4" fontId="0" fillId="0" borderId="17" xfId="0" applyNumberFormat="1" applyBorder="1" applyAlignment="1">
      <alignment wrapText="1"/>
    </xf>
    <xf numFmtId="4" fontId="0" fillId="0" borderId="0" xfId="0" applyNumberFormat="1" applyFill="1" applyBorder="1"/>
    <xf numFmtId="4" fontId="0" fillId="0" borderId="0" xfId="0" applyNumberFormat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0" fillId="0" borderId="9" xfId="0" applyNumberFormat="1" applyBorder="1"/>
    <xf numFmtId="4" fontId="0" fillId="0" borderId="16" xfId="0" applyNumberFormat="1" applyBorder="1"/>
    <xf numFmtId="0" fontId="4" fillId="0" borderId="38" xfId="0" applyFont="1" applyFill="1" applyBorder="1"/>
    <xf numFmtId="0" fontId="4" fillId="0" borderId="28" xfId="0" quotePrefix="1" applyFont="1" applyFill="1" applyBorder="1" applyAlignment="1">
      <alignment horizontal="left"/>
    </xf>
    <xf numFmtId="0" fontId="0" fillId="0" borderId="21" xfId="0" applyBorder="1"/>
    <xf numFmtId="9" fontId="0" fillId="0" borderId="22" xfId="2" applyFont="1" applyBorder="1"/>
    <xf numFmtId="9" fontId="0" fillId="0" borderId="23" xfId="2" applyFont="1" applyBorder="1"/>
    <xf numFmtId="4" fontId="0" fillId="0" borderId="11" xfId="0" applyNumberFormat="1" applyFill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">
    <cellStyle name="Normal" xfId="0" builtinId="0"/>
    <cellStyle name="Normal 2" xfId="1" xr:uid="{93A96514-9E74-465B-9872-22A24B0865B3}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517E-548C-4FAD-8436-5711C366F520}">
  <dimension ref="A1:L10"/>
  <sheetViews>
    <sheetView workbookViewId="0">
      <selection activeCell="C22" sqref="C22"/>
    </sheetView>
  </sheetViews>
  <sheetFormatPr defaultRowHeight="15"/>
  <cols>
    <col min="1" max="1" width="33" customWidth="1"/>
    <col min="2" max="2" width="17" customWidth="1"/>
  </cols>
  <sheetData>
    <row r="1" spans="1:12" ht="23.25">
      <c r="A1" s="142" t="s">
        <v>0</v>
      </c>
      <c r="B1" s="142"/>
      <c r="C1" s="142"/>
      <c r="D1" s="142"/>
      <c r="E1" s="142"/>
      <c r="F1" s="142"/>
    </row>
    <row r="2" spans="1:12" ht="15.75">
      <c r="A2" s="76" t="s">
        <v>113</v>
      </c>
      <c r="B2" s="77" t="s">
        <v>117</v>
      </c>
      <c r="C2" s="77"/>
      <c r="D2" s="78"/>
    </row>
    <row r="3" spans="1:12" ht="15.75">
      <c r="A3" s="76" t="s">
        <v>114</v>
      </c>
      <c r="B3" s="79" t="s">
        <v>118</v>
      </c>
      <c r="C3" s="76"/>
      <c r="D3" s="76"/>
    </row>
    <row r="4" spans="1:12" ht="15.75">
      <c r="A4" s="76" t="s">
        <v>115</v>
      </c>
      <c r="B4" s="80" t="s">
        <v>122</v>
      </c>
      <c r="C4" s="76"/>
      <c r="D4" s="76"/>
    </row>
    <row r="5" spans="1:12" ht="15.75">
      <c r="A5" s="81" t="s">
        <v>116</v>
      </c>
      <c r="B5" s="82" t="s">
        <v>119</v>
      </c>
      <c r="C5" s="76"/>
      <c r="D5" s="76"/>
    </row>
    <row r="6" spans="1:12" ht="15.75">
      <c r="A6" s="81"/>
      <c r="B6" s="76"/>
      <c r="C6" s="76"/>
      <c r="D6" s="76"/>
    </row>
    <row r="7" spans="1:12" ht="15.75">
      <c r="A7" s="76" t="s">
        <v>120</v>
      </c>
      <c r="B7" s="76"/>
    </row>
    <row r="8" spans="1:12" ht="15.75">
      <c r="A8" s="143" t="s">
        <v>121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1:12" ht="15.75">
      <c r="A9" s="76"/>
      <c r="B9" s="76"/>
    </row>
    <row r="10" spans="1:12" ht="15.75">
      <c r="A10" s="76"/>
      <c r="B10" s="76"/>
    </row>
  </sheetData>
  <mergeCells count="2">
    <mergeCell ref="A1:F1"/>
    <mergeCell ref="A8:L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AE7E-EE92-4887-8B10-3450405FE4DC}">
  <dimension ref="A1:F37"/>
  <sheetViews>
    <sheetView workbookViewId="0">
      <selection activeCell="G29" sqref="G29"/>
    </sheetView>
  </sheetViews>
  <sheetFormatPr defaultRowHeight="15"/>
  <cols>
    <col min="1" max="1" width="38.140625" customWidth="1"/>
  </cols>
  <sheetData>
    <row r="1" spans="1:6" ht="15.75" thickBot="1">
      <c r="A1" s="24" t="s">
        <v>112</v>
      </c>
    </row>
    <row r="2" spans="1:6">
      <c r="A2" s="147" t="s">
        <v>39</v>
      </c>
      <c r="B2" s="144" t="s">
        <v>9</v>
      </c>
      <c r="C2" s="145"/>
      <c r="D2" s="145"/>
      <c r="E2" s="145"/>
      <c r="F2" s="146"/>
    </row>
    <row r="3" spans="1:6" ht="15.75" thickBot="1">
      <c r="A3" s="148"/>
      <c r="B3" s="13">
        <v>42004</v>
      </c>
      <c r="C3" s="13">
        <f>EOMONTH(B3,12)</f>
        <v>42369</v>
      </c>
      <c r="D3" s="13">
        <f t="shared" ref="D3:F3" si="0">EOMONTH(C3,12)</f>
        <v>42735</v>
      </c>
      <c r="E3" s="13">
        <f t="shared" si="0"/>
        <v>43100</v>
      </c>
      <c r="F3" s="32">
        <f t="shared" si="0"/>
        <v>43465</v>
      </c>
    </row>
    <row r="4" spans="1:6">
      <c r="A4" s="33" t="s">
        <v>40</v>
      </c>
      <c r="B4" s="83">
        <v>1</v>
      </c>
      <c r="C4" s="84">
        <v>1.2708352802646601</v>
      </c>
      <c r="D4" s="84">
        <f>Dec_16</f>
        <v>1.2708352802646581</v>
      </c>
      <c r="E4" s="83">
        <f>Dec_17</f>
        <v>1.3079632611940848</v>
      </c>
      <c r="F4" s="85">
        <f>Dec_18</f>
        <v>1.4216313777831706</v>
      </c>
    </row>
    <row r="5" spans="1:6">
      <c r="A5" s="34" t="s">
        <v>41</v>
      </c>
      <c r="B5" s="83">
        <v>1</v>
      </c>
      <c r="C5" s="83">
        <f>COST_OF_GOODS_SOLD_SALES</f>
        <v>1.1418122131565527</v>
      </c>
      <c r="D5" s="83">
        <f>cost_dec_16</f>
        <v>1.2318739445367126</v>
      </c>
      <c r="E5" s="83">
        <f>ebitda_15</f>
        <v>1.7182688306283811</v>
      </c>
      <c r="F5" s="85">
        <f>cost_18</f>
        <v>1.2431968838779994</v>
      </c>
    </row>
    <row r="6" spans="1:6">
      <c r="A6" s="34" t="s">
        <v>42</v>
      </c>
      <c r="B6" s="83">
        <v>1</v>
      </c>
      <c r="C6" s="83">
        <f>gpg_15</f>
        <v>1.3475758499771306</v>
      </c>
      <c r="D6" s="83">
        <f>gpg_16</f>
        <v>1.3497949370668929</v>
      </c>
      <c r="E6" s="83">
        <f>gpg_17</f>
        <v>1.3815850132014584</v>
      </c>
      <c r="F6" s="85">
        <f>gpg_18</f>
        <v>1.4216313777831706</v>
      </c>
    </row>
    <row r="7" spans="1:6">
      <c r="A7" s="35" t="s">
        <v>5</v>
      </c>
      <c r="B7" s="83">
        <v>1</v>
      </c>
      <c r="C7" s="83">
        <f>sga_15</f>
        <v>1.2594313063063063</v>
      </c>
      <c r="D7" s="83">
        <f>sga_16</f>
        <v>1.3196229648671809</v>
      </c>
      <c r="E7" s="83">
        <f>sga_17</f>
        <v>1.4214568040654998</v>
      </c>
      <c r="F7" s="85">
        <f>sga_18</f>
        <v>1.3102605863192183</v>
      </c>
    </row>
    <row r="8" spans="1:6">
      <c r="A8" s="35" t="s">
        <v>26</v>
      </c>
      <c r="B8" s="83">
        <v>1</v>
      </c>
      <c r="C8" s="83">
        <f>ot_15</f>
        <v>2.1694915254237288</v>
      </c>
      <c r="D8" s="83">
        <f>ot_16</f>
        <v>0.3515625</v>
      </c>
      <c r="E8" s="83">
        <f>ot_17</f>
        <v>3.8444444444444446</v>
      </c>
      <c r="F8" s="85">
        <f>ot_18</f>
        <v>0.52890173410404628</v>
      </c>
    </row>
    <row r="9" spans="1:6">
      <c r="A9" s="36" t="s">
        <v>27</v>
      </c>
      <c r="B9" s="83">
        <v>1</v>
      </c>
      <c r="C9" s="83">
        <f>ebitda_15</f>
        <v>1.7182688306283811</v>
      </c>
      <c r="D9" s="83">
        <f>ebitda_16</f>
        <v>1.4788084281908453</v>
      </c>
      <c r="E9" s="83">
        <f>ebitda_17</f>
        <v>1.2477890599410415</v>
      </c>
      <c r="F9" s="85">
        <f>ebitda_18</f>
        <v>1.8098831867699172</v>
      </c>
    </row>
    <row r="10" spans="1:6">
      <c r="A10" s="35" t="s">
        <v>37</v>
      </c>
      <c r="B10" s="83">
        <v>1</v>
      </c>
      <c r="C10" s="83">
        <f>dep_15</f>
        <v>1.3234302570585756</v>
      </c>
      <c r="D10" s="83">
        <f>dep_16</f>
        <v>1.2921509313803534</v>
      </c>
      <c r="E10" s="83">
        <f>dep_17</f>
        <v>1.4142434696895023</v>
      </c>
      <c r="F10" s="85">
        <f>dep_18</f>
        <v>1.3365568914445025</v>
      </c>
    </row>
    <row r="11" spans="1:6">
      <c r="A11" s="37" t="s">
        <v>28</v>
      </c>
      <c r="B11" s="83">
        <v>1</v>
      </c>
      <c r="C11" s="83">
        <f>ebit_15</f>
        <v>32.950000000000003</v>
      </c>
      <c r="D11" s="83">
        <f>ebit_17</f>
        <v>0.91796875</v>
      </c>
      <c r="E11" s="83">
        <f>ebit_18</f>
        <v>3.2547872340425532</v>
      </c>
      <c r="F11" s="85">
        <f>ebit_18</f>
        <v>3.2547872340425532</v>
      </c>
    </row>
    <row r="12" spans="1:6">
      <c r="A12" s="35" t="s">
        <v>29</v>
      </c>
      <c r="B12" s="83">
        <v>1</v>
      </c>
      <c r="C12" s="83">
        <f>ie_15</f>
        <v>2.095890410958904</v>
      </c>
      <c r="D12" s="83">
        <f>ie_16</f>
        <v>1.0544662309368191</v>
      </c>
      <c r="E12" s="83">
        <f>ie_17</f>
        <v>0.91796875</v>
      </c>
      <c r="F12" s="85">
        <f>ii_18</f>
        <v>2.1782178217821784</v>
      </c>
    </row>
    <row r="13" spans="1:6">
      <c r="A13" s="35" t="s">
        <v>30</v>
      </c>
      <c r="B13" s="83">
        <v>1</v>
      </c>
      <c r="C13" s="83">
        <f>ii_15</f>
        <v>1.2820512820512822</v>
      </c>
      <c r="D13" s="83">
        <f>ii_16</f>
        <v>2</v>
      </c>
      <c r="E13" s="83">
        <f>ii_17</f>
        <v>2.02</v>
      </c>
      <c r="F13" s="85">
        <f>ii_18</f>
        <v>2.1782178217821784</v>
      </c>
    </row>
    <row r="14" spans="1:6">
      <c r="A14" s="36" t="s">
        <v>31</v>
      </c>
      <c r="B14" s="83">
        <v>1</v>
      </c>
      <c r="C14" s="83">
        <f>ebt_15</f>
        <v>-13.066666666666666</v>
      </c>
      <c r="D14" s="83">
        <f>ebt_16</f>
        <v>2.3673469387755102</v>
      </c>
      <c r="E14" s="83">
        <f>ebt_17</f>
        <v>0.83890086206896552</v>
      </c>
      <c r="F14" s="85">
        <f>ebt_18</f>
        <v>3.6162491971740525</v>
      </c>
    </row>
    <row r="15" spans="1:6">
      <c r="A15" s="35" t="s">
        <v>32</v>
      </c>
      <c r="B15" s="83">
        <v>1</v>
      </c>
      <c r="C15" s="83">
        <f>prov_15</f>
        <v>5.6886227544910177</v>
      </c>
      <c r="D15" s="83">
        <f>prov_16</f>
        <v>1.5</v>
      </c>
      <c r="E15" s="83">
        <f>prov_17</f>
        <v>0.53964912280701749</v>
      </c>
      <c r="F15" s="85">
        <f>prov_18</f>
        <v>1.5565669700910274</v>
      </c>
    </row>
    <row r="16" spans="1:6" ht="15.75" thickBot="1">
      <c r="A16" s="38" t="s">
        <v>38</v>
      </c>
      <c r="B16" s="83">
        <v>1</v>
      </c>
      <c r="C16" s="83">
        <f>ni_15</f>
        <v>-2.1533101045296168</v>
      </c>
      <c r="D16" s="83">
        <f>ni_16</f>
        <v>3.7006472491909386</v>
      </c>
      <c r="E16" s="83">
        <f>ni_17</f>
        <v>1.025360734586795</v>
      </c>
      <c r="F16" s="85">
        <f>ni_18</f>
        <v>4.2916844349680172</v>
      </c>
    </row>
    <row r="17" spans="1:6" ht="15.75" thickTop="1">
      <c r="A17" s="35" t="s">
        <v>16</v>
      </c>
      <c r="B17" s="83">
        <v>1</v>
      </c>
      <c r="C17" s="83">
        <f>Beps_15</f>
        <v>1.0108225108225108</v>
      </c>
      <c r="D17" s="83">
        <f>Beps_16</f>
        <v>1.0428265524625269</v>
      </c>
      <c r="E17" s="83">
        <f>Beps_17</f>
        <v>0.98562628336755642</v>
      </c>
      <c r="F17" s="85">
        <f>Beps_18</f>
        <v>1.0145833333333334</v>
      </c>
    </row>
    <row r="18" spans="1:6" ht="15.75" thickBot="1">
      <c r="A18" s="39" t="s">
        <v>17</v>
      </c>
      <c r="B18" s="86">
        <v>1</v>
      </c>
      <c r="C18" s="86">
        <f>Deps_15</f>
        <v>1.0324675324675325</v>
      </c>
      <c r="D18" s="86">
        <f>Deps_16</f>
        <v>1.0146750524109014</v>
      </c>
      <c r="E18" s="86">
        <f>Deps_17</f>
        <v>1.0185950413223142</v>
      </c>
      <c r="F18" s="87">
        <f>Deps_18</f>
        <v>1.0141987829614605</v>
      </c>
    </row>
    <row r="19" spans="1:6" ht="15.75" thickBot="1">
      <c r="C19" s="26"/>
      <c r="D19" s="26"/>
      <c r="E19" s="26"/>
      <c r="F19" s="26"/>
    </row>
    <row r="20" spans="1:6">
      <c r="A20" s="136" t="s">
        <v>111</v>
      </c>
      <c r="B20" s="138"/>
      <c r="C20" s="139"/>
      <c r="D20" s="139"/>
      <c r="E20" s="139"/>
      <c r="F20" s="140"/>
    </row>
    <row r="21" spans="1:6">
      <c r="A21" s="35" t="s">
        <v>43</v>
      </c>
      <c r="B21" s="83">
        <f>CM_14</f>
        <v>0.70517373128961214</v>
      </c>
      <c r="C21" s="83">
        <f>CM_15</f>
        <v>0.66959796646916991</v>
      </c>
      <c r="D21" s="83">
        <f>CM_16</f>
        <v>0.64906939633935601</v>
      </c>
      <c r="E21" s="83">
        <f>CM_17</f>
        <v>0.6293164517108385</v>
      </c>
      <c r="F21" s="85">
        <f>CM_18</f>
        <v>0.59752583871147813</v>
      </c>
    </row>
    <row r="22" spans="1:6">
      <c r="A22" s="137" t="s">
        <v>44</v>
      </c>
      <c r="B22" s="83">
        <f>Gross_profit_margin</f>
        <v>0.29482626871038792</v>
      </c>
      <c r="C22" s="83">
        <f>GPM_15</f>
        <v>0.33040203353083003</v>
      </c>
      <c r="D22" s="83">
        <f>GPM_16</f>
        <v>0.35093060366064405</v>
      </c>
      <c r="E22" s="83">
        <f>GPM_17</f>
        <v>0.3706835482891615</v>
      </c>
      <c r="F22" s="85">
        <f>GPM_18</f>
        <v>0.40247416128852193</v>
      </c>
    </row>
    <row r="23" spans="1:6">
      <c r="A23" s="35" t="s">
        <v>45</v>
      </c>
      <c r="B23" s="83">
        <f>SGAM_14</f>
        <v>0.23949296534364184</v>
      </c>
      <c r="C23" s="83">
        <f>SGAM_15</f>
        <v>0.25083640169710109</v>
      </c>
      <c r="D23" s="83">
        <f>SGAM_16</f>
        <v>0.26046607396295235</v>
      </c>
      <c r="E23" s="83">
        <f>SGAM_17</f>
        <v>0.28306702798736127</v>
      </c>
      <c r="F23" s="85">
        <f>SGAM_18</f>
        <v>0.28326613336081446</v>
      </c>
    </row>
    <row r="24" spans="1:6">
      <c r="A24" s="35" t="s">
        <v>46</v>
      </c>
      <c r="B24" s="83">
        <f>EBITDA_M_14</f>
        <v>5.4007281880703015E-2</v>
      </c>
      <c r="C24" s="83">
        <f>EBITDA_M_15</f>
        <v>7.7173242621909055E-2</v>
      </c>
      <c r="D24" s="83">
        <f>EBITDA_M_16</f>
        <v>8.9802701728841722E-2</v>
      </c>
      <c r="E24" s="83">
        <f>EBITDA_M_17</f>
        <v>8.5671235649309035E-2</v>
      </c>
      <c r="F24" s="85">
        <f>EBITDA_M_18</f>
        <v>5.2549090331362423E-2</v>
      </c>
    </row>
    <row r="25" spans="1:6">
      <c r="A25" s="35" t="s">
        <v>47</v>
      </c>
      <c r="B25" s="83">
        <f>EBIT_M_14</f>
        <v>6.7424821324223486E-4</v>
      </c>
      <c r="C25" s="83">
        <f>EBIT_M_15</f>
        <v>1.8475599499093508E-2</v>
      </c>
      <c r="D25" s="83">
        <f>EBT_M_16</f>
        <v>2.7296726893011831E-2</v>
      </c>
      <c r="E25" s="83">
        <f>EBT_M_17</f>
        <v>1.7507561872420811E-2</v>
      </c>
      <c r="F25" s="85">
        <f>EBIT_M_18</f>
        <v>5.2549090331362423E-2</v>
      </c>
    </row>
    <row r="26" spans="1:6">
      <c r="A26" s="35" t="s">
        <v>48</v>
      </c>
      <c r="B26" s="83">
        <f>NI_M_14</f>
        <v>-3.2251539533420235E-3</v>
      </c>
      <c r="C26" s="83">
        <f>NI_M_15</f>
        <v>5.7753770816589721E-3</v>
      </c>
      <c r="D26" s="83">
        <f>NI_M_16</f>
        <v>1.6817784052887409E-2</v>
      </c>
      <c r="E26" s="83">
        <f>NI_M_17</f>
        <v>1.3184082399109441E-2</v>
      </c>
      <c r="F26" s="85">
        <f>NI_M_18</f>
        <v>4.3214090953981973E-2</v>
      </c>
    </row>
    <row r="27" spans="1:6">
      <c r="A27" s="35" t="s">
        <v>49</v>
      </c>
      <c r="B27" s="2">
        <f>CR_14</f>
        <v>1.1152764427355903</v>
      </c>
      <c r="C27" s="2">
        <f>CR_15</f>
        <v>1.0536488919054505</v>
      </c>
      <c r="D27" s="2">
        <f>CR_16</f>
        <v>1.0448466313675371</v>
      </c>
      <c r="E27" s="2">
        <f>CR_17</f>
        <v>1.039977195376881</v>
      </c>
      <c r="F27" s="64">
        <f>CR_18</f>
        <v>1.0981123247210891</v>
      </c>
    </row>
    <row r="28" spans="1:6">
      <c r="A28" s="35" t="s">
        <v>50</v>
      </c>
      <c r="B28" s="2">
        <f>QR_14</f>
        <v>0.10178361636227705</v>
      </c>
      <c r="C28" s="2">
        <f>QR_15</f>
        <v>0.11561955912296751</v>
      </c>
      <c r="D28" s="2">
        <f>QR_16</f>
        <v>0.1517025744020449</v>
      </c>
      <c r="E28" s="2">
        <f>QR_17</f>
        <v>0.18077846690738214</v>
      </c>
      <c r="F28" s="64">
        <f>QR_18</f>
        <v>0.13890716614759252</v>
      </c>
    </row>
    <row r="29" spans="1:6" ht="15.75" thickBot="1">
      <c r="A29" s="39" t="s">
        <v>75</v>
      </c>
      <c r="B29" s="65">
        <f>IC_14</f>
        <v>0.27397260273972601</v>
      </c>
      <c r="C29" s="65">
        <f>IC_15</f>
        <v>4.3071895424836599</v>
      </c>
      <c r="D29" s="65">
        <f>IC_16</f>
        <v>8.4628099173553721</v>
      </c>
      <c r="E29" s="65">
        <f>IC_17</f>
        <v>4.4339622641509431</v>
      </c>
      <c r="F29" s="66">
        <f>IC_18</f>
        <v>8.6365561044460133</v>
      </c>
    </row>
    <row r="30" spans="1:6">
      <c r="A30" s="41"/>
    </row>
    <row r="33" spans="1:1">
      <c r="A33" s="6"/>
    </row>
    <row r="34" spans="1:1">
      <c r="A34" s="6"/>
    </row>
    <row r="35" spans="1:1">
      <c r="A35" s="6"/>
    </row>
    <row r="37" spans="1:1">
      <c r="A37" s="41"/>
    </row>
  </sheetData>
  <mergeCells count="2">
    <mergeCell ref="B2:F2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1305B-BD25-45AC-8461-20077D878F4F}">
  <dimension ref="A1:R38"/>
  <sheetViews>
    <sheetView tabSelected="1" workbookViewId="0">
      <selection activeCell="C12" sqref="C12"/>
    </sheetView>
  </sheetViews>
  <sheetFormatPr defaultRowHeight="15"/>
  <cols>
    <col min="1" max="1" width="49.42578125" style="10" customWidth="1"/>
    <col min="2" max="2" width="10.28515625" style="10" bestFit="1" customWidth="1"/>
    <col min="3" max="3" width="11.28515625" style="10" bestFit="1" customWidth="1"/>
    <col min="4" max="13" width="11.140625" style="10" bestFit="1" customWidth="1"/>
    <col min="14" max="16384" width="9.140625" style="10"/>
  </cols>
  <sheetData>
    <row r="1" spans="1:18" ht="20.25">
      <c r="A1" s="9" t="s">
        <v>1</v>
      </c>
    </row>
    <row r="2" spans="1:18">
      <c r="A2" s="11"/>
      <c r="B2" s="149" t="s">
        <v>9</v>
      </c>
      <c r="C2" s="150"/>
      <c r="D2" s="150"/>
      <c r="E2" s="150"/>
      <c r="F2" s="151"/>
      <c r="G2" s="149" t="s">
        <v>10</v>
      </c>
      <c r="H2" s="150"/>
      <c r="I2" s="150"/>
      <c r="J2" s="150"/>
      <c r="K2" s="150"/>
      <c r="L2" s="150"/>
      <c r="M2" s="151"/>
      <c r="N2" s="17"/>
      <c r="O2" s="17"/>
      <c r="P2" s="17"/>
      <c r="Q2" s="17"/>
      <c r="R2" s="17"/>
    </row>
    <row r="3" spans="1:18" ht="15.75" thickBot="1">
      <c r="A3" s="12" t="s">
        <v>2</v>
      </c>
      <c r="B3" s="18">
        <v>42004</v>
      </c>
      <c r="C3" s="13">
        <f>EOMONTH(B3,12)</f>
        <v>42369</v>
      </c>
      <c r="D3" s="13">
        <f t="shared" ref="D3:M3" si="0">EOMONTH(C3,12)</f>
        <v>42735</v>
      </c>
      <c r="E3" s="13">
        <f t="shared" si="0"/>
        <v>43100</v>
      </c>
      <c r="F3" s="20">
        <f t="shared" si="0"/>
        <v>43465</v>
      </c>
      <c r="G3" s="18">
        <f>EOMONTH(F3,12)</f>
        <v>43830</v>
      </c>
      <c r="H3" s="13">
        <f t="shared" si="0"/>
        <v>44196</v>
      </c>
      <c r="I3" s="13">
        <f t="shared" si="0"/>
        <v>44561</v>
      </c>
      <c r="J3" s="13">
        <f t="shared" si="0"/>
        <v>44926</v>
      </c>
      <c r="K3" s="13">
        <f t="shared" si="0"/>
        <v>45291</v>
      </c>
      <c r="L3" s="13">
        <f t="shared" si="0"/>
        <v>45657</v>
      </c>
      <c r="M3" s="13">
        <f t="shared" si="0"/>
        <v>46022</v>
      </c>
      <c r="N3" s="14"/>
      <c r="O3" s="15"/>
      <c r="P3" s="15"/>
      <c r="Q3" s="15"/>
      <c r="R3" s="15"/>
    </row>
    <row r="4" spans="1:18">
      <c r="A4" s="4" t="s">
        <v>3</v>
      </c>
      <c r="B4" s="91">
        <v>88988</v>
      </c>
      <c r="C4" s="89">
        <v>107006</v>
      </c>
      <c r="D4" s="92">
        <v>135987</v>
      </c>
      <c r="E4" s="92">
        <v>177866</v>
      </c>
      <c r="F4" s="92">
        <v>232887</v>
      </c>
      <c r="G4" s="91">
        <f>_xlfn.FORECAST.ETS(G3,B4:F4,B3:F3,1)</f>
        <v>261335.86672705895</v>
      </c>
      <c r="H4" s="89">
        <f>_xlfn.FORECAST.ETS(H3,B4:G4,B3:G3,1)</f>
        <v>300117.45276362984</v>
      </c>
      <c r="I4" s="89">
        <f>_xlfn.FORECAST.ETS(I3,B4:H4,B3:H3,1)</f>
        <v>337109.11811993312</v>
      </c>
      <c r="J4" s="89">
        <f>_xlfn.FORECAST.ETS(J3,B4:I4,B3:I3,1)</f>
        <v>374419.92081781622</v>
      </c>
      <c r="K4" s="89">
        <f>_xlfn.FORECAST.ETS(K3,B4:J4,B3:J3,1,1)</f>
        <v>411811.18475633796</v>
      </c>
      <c r="L4" s="89">
        <f>_xlfn.FORECAST.ETS(L3,B4:K4,B3:K3,1)</f>
        <v>449243.94377631263</v>
      </c>
      <c r="M4" s="89">
        <f>_xlfn.FORECAST.ETS(M3,B4:L4,B3:L3,1)</f>
        <v>486699.19344527874</v>
      </c>
      <c r="N4" s="14"/>
      <c r="O4" s="15"/>
      <c r="P4" s="15"/>
      <c r="Q4" s="15"/>
      <c r="R4" s="15"/>
    </row>
    <row r="5" spans="1:18">
      <c r="A5" s="4" t="s">
        <v>4</v>
      </c>
      <c r="B5" s="91">
        <v>62752</v>
      </c>
      <c r="C5" s="89">
        <v>71651</v>
      </c>
      <c r="D5" s="92">
        <v>88265</v>
      </c>
      <c r="E5" s="92">
        <v>111934</v>
      </c>
      <c r="F5" s="92">
        <v>139156</v>
      </c>
      <c r="G5" s="91">
        <f>_xlfn.FORECAST.ETS(G3,B5:F5,B3:F3,1)</f>
        <v>155226.95955110676</v>
      </c>
      <c r="H5" s="89">
        <f>_xlfn.FORECAST.ETS(H3,B5:G5,B3:G3,1)</f>
        <v>176015.78266053571</v>
      </c>
      <c r="I5" s="89">
        <f>_xlfn.FORECAST.ETS(I3,B5:H5,B3:H3,1)</f>
        <v>195874.91689720127</v>
      </c>
      <c r="J5" s="89">
        <f>_xlfn.FORECAST.ETS(J3,B5:I5,B3:I3,1)</f>
        <v>215899.41869525731</v>
      </c>
      <c r="K5" s="89">
        <f>_xlfn.FORECAST.ETS(K3,B5:J5,B3:J3,1)</f>
        <v>235963.98698549694</v>
      </c>
      <c r="L5" s="89">
        <f>_xlfn.FORECAST.ETS(L3,B5:K5,B3:K3,1)</f>
        <v>256049.18659638497</v>
      </c>
      <c r="M5" s="89">
        <f>_xlfn.FORECAST.ETS(M3,B5:L5,B3:L3,1)</f>
        <v>276145.541586629</v>
      </c>
      <c r="N5" s="14"/>
      <c r="O5" s="15"/>
      <c r="P5" s="15"/>
      <c r="Q5" s="15"/>
      <c r="R5" s="15"/>
    </row>
    <row r="6" spans="1:18">
      <c r="A6" s="16" t="s">
        <v>8</v>
      </c>
      <c r="B6" s="93">
        <f t="shared" ref="B6:C6" si="1">B4-B5</f>
        <v>26236</v>
      </c>
      <c r="C6" s="93">
        <f t="shared" si="1"/>
        <v>35355</v>
      </c>
      <c r="D6" s="93">
        <f>D4-D5</f>
        <v>47722</v>
      </c>
      <c r="E6" s="93">
        <f t="shared" ref="E6:G6" si="2">E4-E5</f>
        <v>65932</v>
      </c>
      <c r="F6" s="93">
        <f>F4-F5</f>
        <v>93731</v>
      </c>
      <c r="G6" s="93">
        <f t="shared" si="2"/>
        <v>106108.90717595219</v>
      </c>
      <c r="H6" s="93">
        <f t="shared" ref="H6:M6" si="3">H4-H5</f>
        <v>124101.67010309413</v>
      </c>
      <c r="I6" s="93">
        <f t="shared" si="3"/>
        <v>141234.20122273185</v>
      </c>
      <c r="J6" s="93">
        <f t="shared" si="3"/>
        <v>158520.50212255892</v>
      </c>
      <c r="K6" s="93">
        <f t="shared" si="3"/>
        <v>175847.19777084101</v>
      </c>
      <c r="L6" s="93">
        <f t="shared" si="3"/>
        <v>193194.75717992766</v>
      </c>
      <c r="M6" s="93">
        <f t="shared" si="3"/>
        <v>210553.65185864974</v>
      </c>
      <c r="N6" s="14"/>
      <c r="O6" s="15"/>
      <c r="P6" s="15"/>
      <c r="Q6" s="15"/>
      <c r="R6" s="15"/>
    </row>
    <row r="7" spans="1:18">
      <c r="A7" s="4"/>
      <c r="B7" s="91"/>
      <c r="C7" s="89"/>
      <c r="D7" s="89"/>
      <c r="E7" s="89"/>
      <c r="F7" s="94"/>
      <c r="G7" s="91"/>
      <c r="H7" s="89"/>
      <c r="I7" s="89"/>
      <c r="J7" s="89"/>
      <c r="K7" s="89"/>
      <c r="L7" s="89"/>
      <c r="M7" s="89"/>
      <c r="N7" s="14"/>
      <c r="O7" s="15"/>
      <c r="P7" s="15"/>
      <c r="Q7" s="15"/>
      <c r="R7" s="15"/>
    </row>
    <row r="8" spans="1:18">
      <c r="A8" s="4" t="s">
        <v>5</v>
      </c>
      <c r="B8" s="91">
        <v>21312</v>
      </c>
      <c r="C8" s="89">
        <v>26841</v>
      </c>
      <c r="D8" s="89">
        <v>35420</v>
      </c>
      <c r="E8" s="89">
        <v>50348</v>
      </c>
      <c r="F8" s="94">
        <v>65969</v>
      </c>
      <c r="G8" s="91">
        <f>_xlfn.FORECAST.ETS(G3,B8:F8,B3:F3,1)</f>
        <v>75403.136302083556</v>
      </c>
      <c r="H8" s="89">
        <f>_xlfn.FORECAST.ETS(H3,B8:G8,B3:G3,1)</f>
        <v>87567.261956081493</v>
      </c>
      <c r="I8" s="89">
        <f>_xlfn.FORECAST.ETS(I3,B8:H8,B3:H3,1)</f>
        <v>99188.643971862024</v>
      </c>
      <c r="J8" s="89">
        <f>_xlfn.FORECAST.ETS(J3,B8:I8,B3:I3,1)</f>
        <v>110908.98910179903</v>
      </c>
      <c r="K8" s="89">
        <f>_xlfn.FORECAST.ETS(K3,B8:J8,B3:J3,1)</f>
        <v>122653.6117221625</v>
      </c>
      <c r="L8" s="89">
        <f>_xlfn.FORECAST.ETS(L3,B8:K8,B3:K3,1)</f>
        <v>134410.74154022307</v>
      </c>
      <c r="M8" s="89">
        <f>_xlfn.FORECAST.ETS(M3,B8:L8,B3:L3,1)</f>
        <v>146174.6391963455</v>
      </c>
      <c r="N8" s="14"/>
      <c r="O8" s="15"/>
      <c r="P8" s="15"/>
      <c r="Q8" s="15"/>
      <c r="R8" s="15"/>
    </row>
    <row r="9" spans="1:18">
      <c r="A9" s="4" t="s">
        <v>7</v>
      </c>
      <c r="B9" s="91">
        <v>118</v>
      </c>
      <c r="C9" s="89">
        <v>256</v>
      </c>
      <c r="D9" s="89">
        <v>90</v>
      </c>
      <c r="E9" s="95">
        <v>346</v>
      </c>
      <c r="F9" s="94">
        <v>183</v>
      </c>
      <c r="G9" s="91">
        <f>_xlfn.FORECAST.ETS(G3,B9:F9,B3:F3)</f>
        <v>383.41658503870428</v>
      </c>
      <c r="H9" s="89">
        <f>_xlfn.FORECAST.ETS(H3,B9:G9,B3:G3,1)</f>
        <v>247.85679925974861</v>
      </c>
      <c r="I9" s="89">
        <f>_xlfn.FORECAST.ETS(I3,B9:H9,B3:H3)</f>
        <v>432.4971162043413</v>
      </c>
      <c r="J9" s="89">
        <f>_xlfn.FORECAST.ETS(J3,B9:I9,B3:I3)</f>
        <v>292.45458448237923</v>
      </c>
      <c r="K9" s="89">
        <f>_xlfn.FORECAST.ETS(K3,B9:J9,B3:J3,1)</f>
        <v>489.37539475321705</v>
      </c>
      <c r="L9" s="89">
        <f>_xlfn.FORECAST.ETS(L3,B9:K9,B3:K3,1)</f>
        <v>345.14870058474446</v>
      </c>
      <c r="M9" s="89">
        <f>_xlfn.FORECAST.ETS(M3,B9:L9,B3:L3,1)</f>
        <v>542.07645110943122</v>
      </c>
      <c r="N9" s="14"/>
      <c r="O9" s="15"/>
      <c r="P9" s="15"/>
      <c r="Q9" s="15"/>
      <c r="R9" s="15"/>
    </row>
    <row r="10" spans="1:18">
      <c r="A10" s="5" t="s">
        <v>6</v>
      </c>
      <c r="B10" s="93">
        <f>B6-B8-B9</f>
        <v>4806</v>
      </c>
      <c r="C10" s="93">
        <f t="shared" ref="C10:M10" si="4">C6-C8-C9</f>
        <v>8258</v>
      </c>
      <c r="D10" s="93">
        <f t="shared" si="4"/>
        <v>12212</v>
      </c>
      <c r="E10" s="93">
        <f t="shared" si="4"/>
        <v>15238</v>
      </c>
      <c r="F10" s="93">
        <f t="shared" si="4"/>
        <v>27579</v>
      </c>
      <c r="G10" s="93">
        <f t="shared" si="4"/>
        <v>30322.354288829931</v>
      </c>
      <c r="H10" s="93">
        <f t="shared" si="4"/>
        <v>36286.551347752895</v>
      </c>
      <c r="I10" s="93">
        <f t="shared" si="4"/>
        <v>41613.06013466548</v>
      </c>
      <c r="J10" s="93">
        <f t="shared" si="4"/>
        <v>47319.058436277504</v>
      </c>
      <c r="K10" s="93">
        <f t="shared" si="4"/>
        <v>52704.210653925293</v>
      </c>
      <c r="L10" s="93">
        <f t="shared" si="4"/>
        <v>58438.866939119849</v>
      </c>
      <c r="M10" s="93">
        <f t="shared" si="4"/>
        <v>63836.936211194814</v>
      </c>
      <c r="N10" s="14"/>
      <c r="O10" s="15"/>
      <c r="P10" s="15"/>
      <c r="Q10" s="15"/>
      <c r="R10" s="15"/>
    </row>
    <row r="11" spans="1:18">
      <c r="A11" s="6" t="s">
        <v>34</v>
      </c>
      <c r="B11" s="91">
        <f>'Cashflow '!B8</f>
        <v>4746</v>
      </c>
      <c r="C11" s="89">
        <f>'Cashflow '!C8</f>
        <v>6281</v>
      </c>
      <c r="D11" s="89">
        <f>'Cashflow '!D8</f>
        <v>8116</v>
      </c>
      <c r="E11" s="89">
        <f>'Cashflow '!E8</f>
        <v>11478</v>
      </c>
      <c r="F11" s="94">
        <f>'Cashflow '!F8</f>
        <v>15341</v>
      </c>
      <c r="G11" s="91">
        <f>'Cashflow '!G8</f>
        <v>17487.194595347341</v>
      </c>
      <c r="H11" s="89">
        <f>'Cashflow '!H8</f>
        <v>20328.525643528996</v>
      </c>
      <c r="I11" s="89">
        <f>'Cashflow '!I8</f>
        <v>23048.886501654011</v>
      </c>
      <c r="J11" s="89">
        <f>'Cashflow '!J8</f>
        <v>25791.532652623191</v>
      </c>
      <c r="K11" s="89">
        <f>'Cashflow '!K8</f>
        <v>28539.888715317476</v>
      </c>
      <c r="L11" s="89">
        <f>'Cashflow '!L8</f>
        <v>31291.191239306529</v>
      </c>
      <c r="M11" s="89">
        <f>'Cashflow '!M8</f>
        <v>34044.092281282319</v>
      </c>
      <c r="N11" s="14"/>
      <c r="O11" s="15"/>
      <c r="P11" s="15"/>
      <c r="Q11" s="15"/>
      <c r="R11" s="15"/>
    </row>
    <row r="12" spans="1:18">
      <c r="A12" s="7" t="s">
        <v>11</v>
      </c>
      <c r="B12" s="93">
        <f t="shared" ref="B12:M12" si="5">B10-B11</f>
        <v>60</v>
      </c>
      <c r="C12" s="93">
        <f t="shared" si="5"/>
        <v>1977</v>
      </c>
      <c r="D12" s="93">
        <f t="shared" si="5"/>
        <v>4096</v>
      </c>
      <c r="E12" s="93">
        <f t="shared" si="5"/>
        <v>3760</v>
      </c>
      <c r="F12" s="93">
        <f t="shared" si="5"/>
        <v>12238</v>
      </c>
      <c r="G12" s="93">
        <f t="shared" si="5"/>
        <v>12835.15969348259</v>
      </c>
      <c r="H12" s="93">
        <f t="shared" si="5"/>
        <v>15958.025704223899</v>
      </c>
      <c r="I12" s="93">
        <f t="shared" si="5"/>
        <v>18564.173633011469</v>
      </c>
      <c r="J12" s="93">
        <f t="shared" si="5"/>
        <v>21527.525783654313</v>
      </c>
      <c r="K12" s="93">
        <f t="shared" si="5"/>
        <v>24164.321938607816</v>
      </c>
      <c r="L12" s="93">
        <f t="shared" si="5"/>
        <v>27147.675699813321</v>
      </c>
      <c r="M12" s="93">
        <f t="shared" si="5"/>
        <v>29792.843929912495</v>
      </c>
      <c r="N12" s="14"/>
      <c r="O12" s="15"/>
      <c r="P12" s="15"/>
      <c r="Q12" s="15"/>
      <c r="R12" s="15"/>
    </row>
    <row r="13" spans="1:18">
      <c r="A13" s="40" t="s">
        <v>12</v>
      </c>
      <c r="B13" s="96">
        <v>219</v>
      </c>
      <c r="C13" s="96">
        <v>459</v>
      </c>
      <c r="D13" s="89">
        <v>484</v>
      </c>
      <c r="E13" s="89">
        <v>848</v>
      </c>
      <c r="F13" s="94">
        <v>1417</v>
      </c>
      <c r="G13" s="91">
        <f>_xlfn.FORECAST.ETS(G3,B13:F13,B3:F3)</f>
        <v>1588.6618698233378</v>
      </c>
      <c r="H13" s="89">
        <f>_xlfn.FORECAST.ETS(H3,B13:G13,B3:G3)</f>
        <v>1904.2218436682469</v>
      </c>
      <c r="I13" s="89">
        <f>_xlfn.FORECAST.ETS(I3,B13:H13,B3:H3)</f>
        <v>2186.9101092272704</v>
      </c>
      <c r="J13" s="89">
        <f>_xlfn.FORECAST.ETS(J3,B13:I13,B3:I3)</f>
        <v>2487.0669548316773</v>
      </c>
      <c r="K13" s="89">
        <f>_xlfn.FORECAST.ETS(K3,B13:J13,B3:J3)</f>
        <v>2786.7130258263428</v>
      </c>
      <c r="L13" s="89">
        <f>_xlfn.FORECAST.ETS(L3,B13:K13,B3:K3)</f>
        <v>3086.0246720181767</v>
      </c>
      <c r="M13" s="89">
        <f>_xlfn.FORECAST.ETS(M3,B13:L13,B3:L3)</f>
        <v>3385.1163340708349</v>
      </c>
      <c r="N13" s="14"/>
      <c r="O13" s="15"/>
      <c r="P13" s="15"/>
      <c r="Q13" s="15"/>
      <c r="R13" s="15"/>
    </row>
    <row r="14" spans="1:18">
      <c r="A14" s="6" t="s">
        <v>13</v>
      </c>
      <c r="B14" s="91">
        <v>39</v>
      </c>
      <c r="C14" s="89">
        <v>50</v>
      </c>
      <c r="D14" s="89">
        <v>100</v>
      </c>
      <c r="E14" s="89">
        <v>202</v>
      </c>
      <c r="F14" s="94">
        <v>440</v>
      </c>
      <c r="G14" s="91">
        <f>_xlfn.FORECAST.ETS(G3,B14:F14,B3:F3)</f>
        <v>483.43364874357565</v>
      </c>
      <c r="H14" s="89">
        <f>_xlfn.FORECAST.ETS(H3,B14:G14,B3:G3)</f>
        <v>598.76040451253334</v>
      </c>
      <c r="I14" s="89">
        <f>_xlfn.FORECAST.ETS(I3,B14:H14,B3:H3)</f>
        <v>700.36480335263377</v>
      </c>
      <c r="J14" s="89">
        <f>_xlfn.FORECAST.ETS(J3,B14:I14,B3:I3)</f>
        <v>804.98665651082229</v>
      </c>
      <c r="K14" s="89">
        <f>_xlfn.FORECAST.ETS(K3,B14:J14,B3:J3)</f>
        <v>909.9868013774751</v>
      </c>
      <c r="L14" s="89">
        <f>_xlfn.FORECAST.ETS(L3,B14:K14,B3:K3)</f>
        <v>1015.1967307324456</v>
      </c>
      <c r="M14" s="89">
        <f>_xlfn.FORECAST.ETS(M3,B14:L14,B3:L3)</f>
        <v>1120.5263786154183</v>
      </c>
      <c r="N14" s="14"/>
      <c r="O14" s="15"/>
      <c r="P14" s="15"/>
      <c r="Q14" s="15"/>
      <c r="R14" s="15"/>
    </row>
    <row r="15" spans="1:18">
      <c r="A15" s="5" t="s">
        <v>14</v>
      </c>
      <c r="B15" s="93">
        <f>B12+B14-B13</f>
        <v>-120</v>
      </c>
      <c r="C15" s="93">
        <f>C12+C14-C13</f>
        <v>1568</v>
      </c>
      <c r="D15" s="93">
        <f t="shared" ref="D15:M15" si="6">D12+D14-D13</f>
        <v>3712</v>
      </c>
      <c r="E15" s="93">
        <f t="shared" si="6"/>
        <v>3114</v>
      </c>
      <c r="F15" s="93">
        <f t="shared" si="6"/>
        <v>11261</v>
      </c>
      <c r="G15" s="93">
        <f t="shared" si="6"/>
        <v>11729.931472402828</v>
      </c>
      <c r="H15" s="93">
        <f t="shared" si="6"/>
        <v>14652.564265068186</v>
      </c>
      <c r="I15" s="93">
        <f t="shared" si="6"/>
        <v>17077.62832713683</v>
      </c>
      <c r="J15" s="93">
        <f t="shared" si="6"/>
        <v>19845.445485333457</v>
      </c>
      <c r="K15" s="93">
        <f t="shared" si="6"/>
        <v>22287.59571415895</v>
      </c>
      <c r="L15" s="93">
        <f t="shared" si="6"/>
        <v>25076.84775852759</v>
      </c>
      <c r="M15" s="93">
        <f t="shared" si="6"/>
        <v>27528.253974457079</v>
      </c>
      <c r="N15" s="14"/>
      <c r="O15" s="15"/>
      <c r="P15" s="15"/>
      <c r="Q15" s="15"/>
      <c r="R15" s="15"/>
    </row>
    <row r="16" spans="1:18">
      <c r="A16" s="6" t="s">
        <v>15</v>
      </c>
      <c r="B16" s="91">
        <v>167</v>
      </c>
      <c r="C16" s="89">
        <v>950</v>
      </c>
      <c r="D16" s="89">
        <v>1425</v>
      </c>
      <c r="E16" s="89">
        <v>769</v>
      </c>
      <c r="F16" s="94">
        <v>1197</v>
      </c>
      <c r="G16" s="91">
        <f>_xlfn.FORECAST.ETS(G3,B16:F16,B3:F3)</f>
        <v>1307.4312272696407</v>
      </c>
      <c r="H16" s="89">
        <f>_xlfn.FORECAST.ETS(H3,B16:G16,B3:G3)</f>
        <v>1418.4928289156683</v>
      </c>
      <c r="I16" s="89">
        <f>_xlfn.FORECAST.ETS(I3,B16:H16,B3:H3)</f>
        <v>1597.8856687047778</v>
      </c>
      <c r="J16" s="89">
        <f>_xlfn.FORECAST.ETS(J3,B16:I16,B3:I3)</f>
        <v>1743.2832881273591</v>
      </c>
      <c r="K16" s="89">
        <f>_xlfn.FORECAST.ETS(K3,B16:J16,B3:J3)</f>
        <v>1888.5557993532509</v>
      </c>
      <c r="L16" s="89">
        <f>_xlfn.FORECAST.ETS(L3,B16:K16,B3:K3)</f>
        <v>2033.6944289455771</v>
      </c>
      <c r="M16" s="89">
        <f>_xlfn.FORECAST.ETS(M3,B16:L16,B3:L3)</f>
        <v>2178.737228702862</v>
      </c>
      <c r="N16" s="14"/>
      <c r="O16" s="15"/>
      <c r="P16" s="15"/>
      <c r="Q16" s="15"/>
      <c r="R16" s="15"/>
    </row>
    <row r="17" spans="1:18" ht="15.75" thickBot="1">
      <c r="A17" s="31" t="s">
        <v>36</v>
      </c>
      <c r="B17" s="97">
        <f>B15-B16</f>
        <v>-287</v>
      </c>
      <c r="C17" s="97">
        <f t="shared" ref="C17:M17" si="7">C15-C16</f>
        <v>618</v>
      </c>
      <c r="D17" s="97">
        <f t="shared" si="7"/>
        <v>2287</v>
      </c>
      <c r="E17" s="97">
        <f t="shared" si="7"/>
        <v>2345</v>
      </c>
      <c r="F17" s="97">
        <f t="shared" si="7"/>
        <v>10064</v>
      </c>
      <c r="G17" s="97">
        <f t="shared" si="7"/>
        <v>10422.500245133187</v>
      </c>
      <c r="H17" s="97">
        <f t="shared" si="7"/>
        <v>13234.071436152517</v>
      </c>
      <c r="I17" s="97">
        <f t="shared" si="7"/>
        <v>15479.742658432053</v>
      </c>
      <c r="J17" s="97">
        <f t="shared" si="7"/>
        <v>18102.162197206097</v>
      </c>
      <c r="K17" s="97">
        <f t="shared" si="7"/>
        <v>20399.0399148057</v>
      </c>
      <c r="L17" s="97">
        <f t="shared" si="7"/>
        <v>23043.153329582012</v>
      </c>
      <c r="M17" s="98">
        <f t="shared" si="7"/>
        <v>25349.516745754216</v>
      </c>
      <c r="N17" s="14"/>
      <c r="O17" s="15"/>
      <c r="P17" s="15"/>
      <c r="Q17" s="15"/>
      <c r="R17" s="15"/>
    </row>
    <row r="18" spans="1:18">
      <c r="A18" s="4" t="s">
        <v>16</v>
      </c>
      <c r="B18" s="91">
        <v>462</v>
      </c>
      <c r="C18" s="89">
        <v>467</v>
      </c>
      <c r="D18" s="89">
        <v>487</v>
      </c>
      <c r="E18" s="89">
        <v>480</v>
      </c>
      <c r="F18" s="94">
        <v>487</v>
      </c>
      <c r="G18" s="91">
        <f>_xlfn.FORECAST.ETS(G3,B18:F18,B3:F3)</f>
        <v>488.81125013518147</v>
      </c>
      <c r="H18" s="89">
        <f>_xlfn.FORECAST.ETS(H3,B18:G18,B3:G3)</f>
        <v>495.41312162414528</v>
      </c>
      <c r="I18" s="89">
        <f>_xlfn.FORECAST.ETS(I3,B18:H18,B3:H3)</f>
        <v>500.19807883370839</v>
      </c>
      <c r="J18" s="89">
        <f>_xlfn.FORECAST.ETS(J3,B18:I18,B3:I3)</f>
        <v>505.47425400819878</v>
      </c>
      <c r="K18" s="89">
        <f>_xlfn.FORECAST.ETS(K3,B18:J18,B3:J3)</f>
        <v>510.37464990959438</v>
      </c>
      <c r="L18" s="89">
        <f>_xlfn.FORECAST.ETS(L3,B18:K18,B3:K3)</f>
        <v>515.28666260558623</v>
      </c>
      <c r="M18" s="94">
        <f>_xlfn.FORECAST.ETS(M3,B18:L18,B3:L3)</f>
        <v>520.20628492309959</v>
      </c>
      <c r="N18" s="14"/>
      <c r="O18" s="15"/>
      <c r="P18" s="15"/>
      <c r="Q18" s="15"/>
      <c r="R18" s="15"/>
    </row>
    <row r="19" spans="1:18" ht="15.75" thickBot="1">
      <c r="A19" s="8" t="s">
        <v>17</v>
      </c>
      <c r="B19" s="99">
        <v>462</v>
      </c>
      <c r="C19" s="100">
        <v>477</v>
      </c>
      <c r="D19" s="100">
        <v>484</v>
      </c>
      <c r="E19" s="100">
        <v>493</v>
      </c>
      <c r="F19" s="101">
        <v>500</v>
      </c>
      <c r="G19" s="99">
        <f>_xlfn.FORECAST.ETS(G3,B19:F19,B3:F3)</f>
        <v>509.81724334033714</v>
      </c>
      <c r="H19" s="100">
        <f>_xlfn.FORECAST.ETS(H3,B19:G19,B3:G3)</f>
        <v>515.53861726069863</v>
      </c>
      <c r="I19" s="100">
        <f>_xlfn.FORECAST.ETS(I3,B19:H19,B3:H3)</f>
        <v>524.87963372943659</v>
      </c>
      <c r="J19" s="100">
        <f>_xlfn.FORECAST.ETS(J3,B19:I19,B3:I3)</f>
        <v>531.30853010282863</v>
      </c>
      <c r="K19" s="100">
        <f>_xlfn.FORECAST.ETS(K3,B19:J19,B3:J3)</f>
        <v>540.11404115169728</v>
      </c>
      <c r="L19" s="100">
        <f>_xlfn.FORECAST.ETS(L3,B19:K19,B3:K3)</f>
        <v>546.73342124369753</v>
      </c>
      <c r="M19" s="101">
        <f>_xlfn.FORECAST.ETS(M3,B19:L19,B3:L3)</f>
        <v>555.04428156695963</v>
      </c>
      <c r="N19" s="14"/>
      <c r="O19" s="15"/>
      <c r="P19" s="15"/>
      <c r="Q19" s="15"/>
      <c r="R19" s="15"/>
    </row>
    <row r="20" spans="1:18">
      <c r="N20" s="14"/>
      <c r="O20" s="15"/>
      <c r="P20" s="15"/>
      <c r="Q20" s="15"/>
      <c r="R20" s="15"/>
    </row>
    <row r="21" spans="1:18">
      <c r="N21" s="14"/>
      <c r="O21" s="15"/>
      <c r="P21" s="15"/>
      <c r="Q21" s="15"/>
      <c r="R21" s="15"/>
    </row>
    <row r="35" spans="1:6">
      <c r="A35" t="s">
        <v>33</v>
      </c>
      <c r="B35" s="28">
        <v>88810</v>
      </c>
      <c r="C35" s="28">
        <v>104773</v>
      </c>
      <c r="D35" s="27">
        <v>131801</v>
      </c>
      <c r="E35" s="27">
        <v>173760</v>
      </c>
      <c r="F35" s="27">
        <v>220466</v>
      </c>
    </row>
    <row r="36" spans="1:6" ht="60">
      <c r="A36" s="29" t="s">
        <v>34</v>
      </c>
      <c r="B36" s="28">
        <v>4746</v>
      </c>
      <c r="C36" s="28">
        <v>6281</v>
      </c>
      <c r="D36" s="27">
        <v>8116</v>
      </c>
      <c r="E36" s="27">
        <v>11478</v>
      </c>
      <c r="F36" s="27">
        <v>15341</v>
      </c>
    </row>
    <row r="37" spans="1:6">
      <c r="A37" s="10" t="s">
        <v>35</v>
      </c>
      <c r="B37" s="10">
        <f>B5</f>
        <v>62752</v>
      </c>
      <c r="C37" s="10">
        <f>C5</f>
        <v>71651</v>
      </c>
      <c r="D37" s="10">
        <f>D5</f>
        <v>88265</v>
      </c>
      <c r="E37" s="10">
        <f>E5</f>
        <v>111934</v>
      </c>
      <c r="F37" s="10">
        <f>F5</f>
        <v>139156</v>
      </c>
    </row>
    <row r="38" spans="1:6">
      <c r="A38" s="4" t="s">
        <v>5</v>
      </c>
      <c r="B38" s="28">
        <f>B35-B36-B37</f>
        <v>21312</v>
      </c>
      <c r="C38" s="28">
        <f>C35-C36-C37</f>
        <v>26841</v>
      </c>
      <c r="D38" s="30">
        <f>D35-D36-D37</f>
        <v>35420</v>
      </c>
      <c r="E38" s="30">
        <f>E35-E36-E37</f>
        <v>50348</v>
      </c>
      <c r="F38" s="30">
        <f>F35-F36-F37</f>
        <v>65969</v>
      </c>
    </row>
  </sheetData>
  <mergeCells count="2">
    <mergeCell ref="B2:F2"/>
    <mergeCell ref="G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D789-DD31-482D-85F7-19A726D81D2F}">
  <dimension ref="A1:M48"/>
  <sheetViews>
    <sheetView workbookViewId="0">
      <selection activeCell="I28" sqref="I28"/>
    </sheetView>
  </sheetViews>
  <sheetFormatPr defaultRowHeight="15"/>
  <cols>
    <col min="1" max="1" width="47" customWidth="1"/>
    <col min="5" max="6" width="10.42578125" bestFit="1" customWidth="1"/>
    <col min="7" max="8" width="11.140625" bestFit="1" customWidth="1"/>
    <col min="9" max="9" width="10.140625" bestFit="1" customWidth="1"/>
    <col min="10" max="13" width="11.140625" bestFit="1" customWidth="1"/>
  </cols>
  <sheetData>
    <row r="1" spans="1:13">
      <c r="A1" s="21"/>
    </row>
    <row r="2" spans="1:13">
      <c r="A2" s="152" t="s">
        <v>123</v>
      </c>
      <c r="B2" s="149" t="s">
        <v>9</v>
      </c>
      <c r="C2" s="150"/>
      <c r="D2" s="150"/>
      <c r="E2" s="150"/>
      <c r="F2" s="151"/>
      <c r="G2" s="149" t="s">
        <v>10</v>
      </c>
      <c r="H2" s="150"/>
      <c r="I2" s="150"/>
      <c r="J2" s="150"/>
      <c r="K2" s="150"/>
      <c r="L2" s="150"/>
      <c r="M2" s="151"/>
    </row>
    <row r="3" spans="1:13" ht="15.75" thickBot="1">
      <c r="A3" s="153"/>
      <c r="B3" s="18">
        <v>42004</v>
      </c>
      <c r="C3" s="13">
        <f>EOMONTH(B3,12)</f>
        <v>42369</v>
      </c>
      <c r="D3" s="13">
        <f t="shared" ref="D3:M3" si="0">EOMONTH(C3,12)</f>
        <v>42735</v>
      </c>
      <c r="E3" s="13">
        <f t="shared" si="0"/>
        <v>43100</v>
      </c>
      <c r="F3" s="20">
        <f t="shared" si="0"/>
        <v>43465</v>
      </c>
      <c r="G3" s="18">
        <f t="shared" si="0"/>
        <v>43830</v>
      </c>
      <c r="H3" s="13">
        <f t="shared" si="0"/>
        <v>44196</v>
      </c>
      <c r="I3" s="13">
        <f t="shared" si="0"/>
        <v>44561</v>
      </c>
      <c r="J3" s="13">
        <f t="shared" si="0"/>
        <v>44926</v>
      </c>
      <c r="K3" s="13">
        <f t="shared" si="0"/>
        <v>45291</v>
      </c>
      <c r="L3" s="13">
        <f t="shared" si="0"/>
        <v>45657</v>
      </c>
      <c r="M3" s="20">
        <f t="shared" si="0"/>
        <v>46022</v>
      </c>
    </row>
    <row r="4" spans="1:13">
      <c r="A4" s="56" t="s">
        <v>76</v>
      </c>
      <c r="B4" s="44"/>
      <c r="C4" s="45"/>
      <c r="D4" s="45"/>
      <c r="E4" s="45"/>
      <c r="F4" s="61"/>
      <c r="G4" s="62"/>
      <c r="H4" s="63"/>
      <c r="I4" s="63"/>
      <c r="J4" s="63"/>
      <c r="K4" s="63"/>
      <c r="L4" s="63"/>
      <c r="M4" s="61"/>
    </row>
    <row r="5" spans="1:13">
      <c r="A5" s="67" t="s">
        <v>18</v>
      </c>
      <c r="B5" s="44"/>
      <c r="C5" s="45"/>
      <c r="D5" s="45"/>
      <c r="E5" s="45"/>
      <c r="F5" s="46"/>
      <c r="G5" s="44"/>
      <c r="H5" s="45"/>
      <c r="I5" s="45"/>
      <c r="J5" s="45"/>
      <c r="K5" s="45"/>
      <c r="L5" s="45"/>
      <c r="M5" s="46"/>
    </row>
    <row r="6" spans="1:13">
      <c r="A6" s="50" t="s">
        <v>51</v>
      </c>
      <c r="B6" s="102">
        <v>14557</v>
      </c>
      <c r="C6" s="103">
        <v>15890</v>
      </c>
      <c r="D6" s="103">
        <v>19334</v>
      </c>
      <c r="E6" s="103">
        <v>20522</v>
      </c>
      <c r="F6" s="104">
        <v>31750</v>
      </c>
      <c r="G6" s="105">
        <f>_xlfn.FORECAST.ETS(G3,B6:F6,B3:F3)</f>
        <v>33173.466152680827</v>
      </c>
      <c r="H6" s="106">
        <f>_xlfn.FORECAST.ETS(H3,B6:G6,B3:G3)</f>
        <v>37941.694235079507</v>
      </c>
      <c r="I6" s="106">
        <f>_xlfn.FORECAST.ETS(I3,B6:H6,B3:H3)</f>
        <v>41872.640579830695</v>
      </c>
      <c r="J6" s="106">
        <f>_xlfn.FORECAST.ETS(J3,B6:I6,B3:I3)</f>
        <v>48379.620257000395</v>
      </c>
      <c r="K6" s="106">
        <f>_xlfn.FORECAST.ETS(K3,B6:J6,B3:J3)</f>
        <v>51799.44217932663</v>
      </c>
      <c r="L6" s="106">
        <f>_xlfn.FORECAST.ETS(L3,B6:K6,B3:K3)</f>
        <v>58114.153407195729</v>
      </c>
      <c r="M6" s="107">
        <f>_xlfn.FORECAST.ETS(M3,B6:L6,B3:L3)</f>
        <v>61799.760930779157</v>
      </c>
    </row>
    <row r="7" spans="1:13">
      <c r="A7" s="50" t="s">
        <v>52</v>
      </c>
      <c r="B7" s="102">
        <v>2859</v>
      </c>
      <c r="C7" s="103">
        <v>3918</v>
      </c>
      <c r="D7" s="103">
        <v>6647</v>
      </c>
      <c r="E7" s="103">
        <v>10464</v>
      </c>
      <c r="F7" s="104">
        <v>9500</v>
      </c>
      <c r="G7" s="105">
        <f>_xlfn.FORECAST.ETS(G3,B7:F7,B3:F3)</f>
        <v>13937.086952181551</v>
      </c>
      <c r="H7" s="106">
        <f>_xlfn.FORECAST.ETS(H3,B7:G7,B3:G3,1,0,1)</f>
        <v>16118.888304616585</v>
      </c>
      <c r="I7" s="106">
        <f>_xlfn.FORECAST.ETS(I3,B7:H7,B3:H3,1,0,1)</f>
        <v>18252.605641726856</v>
      </c>
      <c r="J7" s="106">
        <f>_xlfn.FORECAST.ETS(J3,B7:I7,B3:I3,1,0,1)</f>
        <v>20679.556725184324</v>
      </c>
      <c r="K7" s="106">
        <f>_xlfn.FORECAST.ETS(K3,B7:J7,B3:J3,1,0,1)</f>
        <v>23869.522999650057</v>
      </c>
      <c r="L7" s="106">
        <f>_xlfn.FORECAST.ETS(L3,B7:K7,B3:K3,1,0,1)</f>
        <v>25594.68728078315</v>
      </c>
      <c r="M7" s="107">
        <f>_xlfn.FORECAST.ETS(M3,B7:L7,B3:L3,1,0,1)</f>
        <v>27949.179166897608</v>
      </c>
    </row>
    <row r="8" spans="1:13">
      <c r="A8" s="50" t="s">
        <v>24</v>
      </c>
      <c r="B8" s="102">
        <v>8299</v>
      </c>
      <c r="C8" s="103">
        <v>10243</v>
      </c>
      <c r="D8" s="103">
        <v>11461</v>
      </c>
      <c r="E8" s="103">
        <v>16047</v>
      </c>
      <c r="F8" s="104">
        <v>17174</v>
      </c>
      <c r="G8" s="105">
        <f>_xlfn.FORECAST.ETS(G3,B8:F8,B3:F3)</f>
        <v>20554.851877920311</v>
      </c>
      <c r="H8" s="106">
        <f>_xlfn.FORECAST.ETS(H3,B8:G8,B3:G3)</f>
        <v>22924.051022238535</v>
      </c>
      <c r="I8" s="106">
        <f>_xlfn.FORECAST.ETS(I3,B8:H8,B3:H3,10,1)</f>
        <v>25369.174032962979</v>
      </c>
      <c r="J8" s="106">
        <f>_xlfn.FORECAST.ETS(J3,B8:I8,B3:I3,1,0,1)</f>
        <v>27903.220464967992</v>
      </c>
      <c r="K8" s="106">
        <f>_xlfn.FORECAST.ETS(K3,B8:J8,B3:J3,1,0,1)</f>
        <v>30434.800099531774</v>
      </c>
      <c r="L8" s="106">
        <f>_xlfn.FORECAST.ETS(L3,B8:K8,B3:K3,1,0,1)</f>
        <v>32964.760966594797</v>
      </c>
      <c r="M8" s="107">
        <f>_xlfn.FORECAST.ETS(M3,B8:L8,B3:L3,1,0,1)</f>
        <v>35493.65349935479</v>
      </c>
    </row>
    <row r="9" spans="1:13">
      <c r="A9" s="51" t="s">
        <v>53</v>
      </c>
      <c r="B9" s="102">
        <v>5612</v>
      </c>
      <c r="C9" s="103">
        <v>5654</v>
      </c>
      <c r="D9" s="103">
        <v>8339</v>
      </c>
      <c r="E9" s="103">
        <v>13164</v>
      </c>
      <c r="F9" s="104">
        <v>16677</v>
      </c>
      <c r="G9" s="105">
        <f>_xlfn.FORECAST.ETS(G3,B9:F9,B3:F3)</f>
        <v>19278.76804795472</v>
      </c>
      <c r="H9" s="106">
        <f>_xlfn.FORECAST.ETS(H3,B9:G9,B3:G3)</f>
        <v>22555.608282826182</v>
      </c>
      <c r="I9" s="106">
        <f>_xlfn.FORECAST.ETS(I3,B9:H9,B3:H3,1,0,1)</f>
        <v>25625.223716798882</v>
      </c>
      <c r="J9" s="106">
        <f>_xlfn.FORECAST.ETS(J3,B9:I9,B3:I3,1,0,1)</f>
        <v>28731.868009241382</v>
      </c>
      <c r="K9" s="106">
        <f>_xlfn.FORECAST.ETS(K3,B9:J9,B3:J3,1,0,1)</f>
        <v>31846.596992791208</v>
      </c>
      <c r="L9" s="106">
        <f>_xlfn.FORECAST.ETS(L3,B9:K9,B3:K3,1,0,1)</f>
        <v>34965.471080852738</v>
      </c>
      <c r="M9" s="107">
        <f>_xlfn.FORECAST.ETS(M3,B9:L9,B3:L3,1,0,1)</f>
        <v>38086.57111099473</v>
      </c>
    </row>
    <row r="10" spans="1:13">
      <c r="A10" s="43" t="s">
        <v>19</v>
      </c>
      <c r="B10" s="108">
        <v>31327</v>
      </c>
      <c r="C10" s="109">
        <v>35705</v>
      </c>
      <c r="D10" s="109">
        <v>45781</v>
      </c>
      <c r="E10" s="109">
        <v>60197</v>
      </c>
      <c r="F10" s="110">
        <v>75101</v>
      </c>
      <c r="G10" s="111">
        <f>_xlfn.FORECAST.ETS(G3,B10:F10,B3:F3)</f>
        <v>84680.581356553652</v>
      </c>
      <c r="H10" s="112">
        <f>_xlfn.FORECAST.ETS(H3,B10:G10,B3:G3)</f>
        <v>96751.983695616946</v>
      </c>
      <c r="I10" s="112">
        <f>_xlfn.FORECAST.ETS(I3,B10:H10,B3:H3,1,0,1)</f>
        <v>108266.87204955738</v>
      </c>
      <c r="J10" s="112">
        <f>_xlfn.FORECAST.ETS(J3,B10:I10,B3:I3,1,0,1)</f>
        <v>119880.47673729631</v>
      </c>
      <c r="K10" s="112">
        <f>_xlfn.FORECAST.ETS(K3,B10:J10,B3:J3,1,0,1)</f>
        <v>131517.15388905036</v>
      </c>
      <c r="L10" s="112">
        <f>_xlfn.FORECAST.ETS(L3,B10:K10,B3:K3,1,0,1)</f>
        <v>143165.69459698701</v>
      </c>
      <c r="M10" s="113">
        <f>_xlfn.FORECAST.ETS(M3,B10:L10,B3:L3,1,0,1)</f>
        <v>154820.63534268996</v>
      </c>
    </row>
    <row r="11" spans="1:13">
      <c r="A11" s="1"/>
      <c r="B11" s="105"/>
      <c r="C11" s="106"/>
      <c r="D11" s="106"/>
      <c r="E11" s="106"/>
      <c r="F11" s="107"/>
      <c r="G11" s="105"/>
      <c r="H11" s="106"/>
      <c r="I11" s="106"/>
      <c r="J11" s="106"/>
      <c r="K11" s="106"/>
      <c r="L11" s="106"/>
      <c r="M11" s="107"/>
    </row>
    <row r="12" spans="1:13">
      <c r="A12" s="50" t="s">
        <v>54</v>
      </c>
      <c r="B12" s="102">
        <v>16967</v>
      </c>
      <c r="C12" s="103">
        <v>21838</v>
      </c>
      <c r="D12" s="103">
        <v>29114</v>
      </c>
      <c r="E12" s="103">
        <v>48866</v>
      </c>
      <c r="F12" s="104">
        <v>61797</v>
      </c>
      <c r="G12" s="105">
        <f>_xlfn.FORECAST.ETS(G3,B12:F12,B3:F3)</f>
        <v>72414.844714894149</v>
      </c>
      <c r="H12" s="106">
        <f>_xlfn.FORECAST.ETS(H3,B12:G12,B3:G3)</f>
        <v>85013.806466431895</v>
      </c>
      <c r="I12" s="106">
        <f>_xlfn.FORECAST.ETS(I3,B12:H12,B3:H3,1,0,1)</f>
        <v>97039.093014999147</v>
      </c>
      <c r="J12" s="106">
        <f>_xlfn.FORECAST.ETS(J3,B12:I12,B3:I3,1,0,1)</f>
        <v>109174.22878890421</v>
      </c>
      <c r="K12" s="106">
        <f>_xlfn.FORECAST.ETS(K3,B12:J12,B3:J3,1,0,1)</f>
        <v>121334.88274058152</v>
      </c>
      <c r="L12" s="106">
        <f>_xlfn.FORECAST.ETS(L3,B12:K12,B3:K3,1,0,1)</f>
        <v>133508.65452779524</v>
      </c>
      <c r="M12" s="107">
        <f>_xlfn.FORECAST.ETS(M3,B12:L12,B3:L3,1,0,1)</f>
        <v>145689.50019620036</v>
      </c>
    </row>
    <row r="13" spans="1:13">
      <c r="A13" s="50" t="s">
        <v>55</v>
      </c>
      <c r="B13" s="102">
        <v>3319</v>
      </c>
      <c r="C13" s="103">
        <v>3759</v>
      </c>
      <c r="D13" s="103">
        <v>3784</v>
      </c>
      <c r="E13" s="103">
        <v>13350</v>
      </c>
      <c r="F13" s="104">
        <v>14548</v>
      </c>
      <c r="G13" s="105">
        <f>_xlfn.FORECAST.ETS(G3,B13:F13,B3:F3)</f>
        <v>18352.993352879894</v>
      </c>
      <c r="H13" s="106">
        <f>_xlfn.FORECAST.ETS(H3,B13:G13,B3:G3)</f>
        <v>22416.435370387113</v>
      </c>
      <c r="I13" s="106">
        <f>_xlfn.FORECAST.ETS(I3,B13:H13,B3:H3,1,0,1)</f>
        <v>25625.00494357754</v>
      </c>
      <c r="J13" s="106">
        <f>_xlfn.FORECAST.ETS(J3,B13:I13,B3:I3,1,0,1)</f>
        <v>29200.401013717958</v>
      </c>
      <c r="K13" s="106">
        <f>_xlfn.FORECAST.ETS(K3,B13:J13,B3:J3,1,0,1)</f>
        <v>35075.776986780249</v>
      </c>
      <c r="L13" s="106">
        <f>_xlfn.FORECAST.ETS(L3,B13:K13,B3:K3,1,0,1)</f>
        <v>37680.58530058738</v>
      </c>
      <c r="M13" s="107">
        <f>_xlfn.FORECAST.ETS(M3,B13:L13,B3:L3,1,0,1)</f>
        <v>40300.545807950024</v>
      </c>
    </row>
    <row r="14" spans="1:13">
      <c r="A14" s="51" t="s">
        <v>21</v>
      </c>
      <c r="B14" s="102">
        <v>2892</v>
      </c>
      <c r="C14" s="103">
        <v>3445</v>
      </c>
      <c r="D14" s="103">
        <v>4723</v>
      </c>
      <c r="E14" s="103">
        <v>8897</v>
      </c>
      <c r="F14" s="104">
        <v>11202</v>
      </c>
      <c r="G14" s="114">
        <f>_xlfn.FORECAST.ETS(G3,B14:F14,B3:F3,1,0,1)</f>
        <v>13226.451342087679</v>
      </c>
      <c r="H14" s="88">
        <f>_xlfn.FORECAST.ETS(H3,B14:G14,B3:G3,1,0,1)</f>
        <v>15679.791834800719</v>
      </c>
      <c r="I14" s="88">
        <f>_xlfn.FORECAST.ETS(I3,B14:H14,B3:H3,1,0,1)</f>
        <v>17951.087052000152</v>
      </c>
      <c r="J14" s="88">
        <f>_xlfn.FORECAST.ETS(J3,B14:I14,B3:I3,1,0,1)</f>
        <v>20268.584113410634</v>
      </c>
      <c r="K14" s="88">
        <f>_xlfn.FORECAST.ETS(K3,B14:J14,B3:J3,1,0,1)</f>
        <v>22590.391387220006</v>
      </c>
      <c r="L14" s="88">
        <f>_xlfn.FORECAST.ETS(L3,B14:K14,B3:K3,1,0,1)</f>
        <v>24914.567005062283</v>
      </c>
      <c r="M14" s="107">
        <f>_xlfn.FORECAST.ETS(M3,B14:L14,B3:L3,1,0,1)</f>
        <v>27240.074998963661</v>
      </c>
    </row>
    <row r="15" spans="1:13" ht="15.75" thickBot="1">
      <c r="A15" s="55" t="s">
        <v>22</v>
      </c>
      <c r="B15" s="115">
        <v>54505</v>
      </c>
      <c r="C15" s="116">
        <v>64747</v>
      </c>
      <c r="D15" s="116">
        <v>83402</v>
      </c>
      <c r="E15" s="116">
        <v>131310</v>
      </c>
      <c r="F15" s="117">
        <v>162648</v>
      </c>
      <c r="G15" s="118">
        <f>_xlfn.FORECAST.ETS(G3,B15:F15,B3:F3)</f>
        <v>188351.15369198672</v>
      </c>
      <c r="H15" s="119">
        <f>_xlfn.FORECAST.ETS(H3,B15:G15,B3:G3,1,0,1)</f>
        <v>218981.22371258072</v>
      </c>
      <c r="I15" s="119">
        <f>_xlfn.FORECAST.ETS(I3,B7:H7,B3:H3,1,0,1)</f>
        <v>18252.605641726856</v>
      </c>
      <c r="J15" s="119">
        <f>_xlfn.FORECAST.ETS(J3,B15:I15,B3:I3,1,0,1)</f>
        <v>138030.15366902619</v>
      </c>
      <c r="K15" s="119">
        <f>_xlfn.FORECAST.ETS(K3,B15:J15,B3:J3,1,0,1)</f>
        <v>150547.71719815984</v>
      </c>
      <c r="L15" s="119">
        <f>_xlfn.FORECAST.ETS(L3,B15:K15,B3:K3,1,0,1)</f>
        <v>155647.20166163481</v>
      </c>
      <c r="M15" s="120">
        <f>_xlfn.FORECAST.ETS(M3,B15:L15,B3:L3,1,0,1)</f>
        <v>160868.44751382861</v>
      </c>
    </row>
    <row r="16" spans="1:13" ht="15.75" thickTop="1">
      <c r="A16" s="3"/>
      <c r="B16" s="105"/>
      <c r="C16" s="106"/>
      <c r="D16" s="106"/>
      <c r="E16" s="106"/>
      <c r="F16" s="107"/>
      <c r="G16" s="105"/>
      <c r="H16" s="106"/>
      <c r="I16" s="106"/>
      <c r="J16" s="106"/>
      <c r="K16" s="106"/>
      <c r="L16" s="106"/>
      <c r="M16" s="107"/>
    </row>
    <row r="17" spans="1:13">
      <c r="A17" s="57" t="s">
        <v>56</v>
      </c>
      <c r="B17" s="112"/>
      <c r="C17" s="112"/>
      <c r="D17" s="112"/>
      <c r="E17" s="112"/>
      <c r="F17" s="113"/>
      <c r="G17" s="111"/>
      <c r="H17" s="112"/>
      <c r="I17" s="112"/>
      <c r="J17" s="112"/>
      <c r="K17" s="112"/>
      <c r="L17" s="112"/>
      <c r="M17" s="113"/>
    </row>
    <row r="18" spans="1:13">
      <c r="A18" s="58" t="s">
        <v>57</v>
      </c>
      <c r="B18" s="106"/>
      <c r="C18" s="106"/>
      <c r="D18" s="106"/>
      <c r="E18" s="106"/>
      <c r="F18" s="107"/>
      <c r="G18" s="106"/>
      <c r="H18" s="106"/>
      <c r="I18" s="106"/>
      <c r="J18" s="106"/>
      <c r="K18" s="106"/>
      <c r="L18" s="106"/>
      <c r="M18" s="107"/>
    </row>
    <row r="19" spans="1:13">
      <c r="A19" s="50" t="s">
        <v>58</v>
      </c>
      <c r="B19" s="102">
        <v>16459</v>
      </c>
      <c r="C19" s="103">
        <v>20397</v>
      </c>
      <c r="D19" s="103">
        <v>25309</v>
      </c>
      <c r="E19" s="103">
        <v>34616</v>
      </c>
      <c r="F19" s="121">
        <v>38192</v>
      </c>
      <c r="G19" s="105">
        <f>_xlfn.FORECAST.ETS(G3,B19:F19,B3:F3)</f>
        <v>45336.336344810014</v>
      </c>
      <c r="H19" s="106">
        <f>_xlfn.FORECAST.ETS(H3,B19:G19,B3:G3,1,0,1)</f>
        <v>51414.160396142543</v>
      </c>
      <c r="I19" s="106">
        <f>_xlfn.FORECAST.ETS(I3,B19:H19,B3:H3,1,0,1)</f>
        <v>57253.660011690677</v>
      </c>
      <c r="J19" s="106">
        <f>_xlfn.FORECAST.ETS(J3,B19:I19,B3:I3,1,0,1)</f>
        <v>63033.308335713722</v>
      </c>
      <c r="K19" s="106">
        <f>_xlfn.FORECAST.ETS(K3,B19:J19,B3:J3,1,0,1)</f>
        <v>71038.061799132367</v>
      </c>
      <c r="L19" s="106">
        <f>_xlfn.FORECAST.ETS(L3,B19:K19,B3:K3,1,0,1)</f>
        <v>76049.323782364445</v>
      </c>
      <c r="M19" s="107">
        <f>_xlfn.FORECAST.ETS(M3,B19:L19,B3:L3,1,0,1)</f>
        <v>82285.504287418502</v>
      </c>
    </row>
    <row r="20" spans="1:13">
      <c r="A20" s="50" t="s">
        <v>59</v>
      </c>
      <c r="B20" s="102">
        <v>9807</v>
      </c>
      <c r="C20" s="103">
        <v>10372</v>
      </c>
      <c r="D20" s="103">
        <v>13739</v>
      </c>
      <c r="E20" s="103">
        <v>18170</v>
      </c>
      <c r="F20" s="121">
        <v>23663</v>
      </c>
      <c r="G20" s="88">
        <f>_xlfn.FORECAST.ETS(G3,B20:F20,B3:F3,1,0,1)</f>
        <v>26420.505102712941</v>
      </c>
      <c r="H20" s="88">
        <f>_xlfn.FORECAST.ETS(H3,B20:G20,B3:G3,1,0,1)</f>
        <v>30348.981462973326</v>
      </c>
      <c r="I20" s="88">
        <f>_xlfn.FORECAST.ETS(I3,B20:H20,B3:H3,1,0,1)</f>
        <v>34033.489828524471</v>
      </c>
      <c r="J20" s="88">
        <f>_xlfn.FORECAST.ETS(J3,B20:I20,B3:I3,1,0,1)</f>
        <v>37760.446957774402</v>
      </c>
      <c r="K20" s="88">
        <f>_xlfn.FORECAST.ETS(K3,B20:J20,B3:J3,1,0,1)</f>
        <v>41497.386242938352</v>
      </c>
      <c r="L20" s="88">
        <f>_xlfn.FORECAST.ETS(L3,B20:K20,B3:K3,1,0,1)</f>
        <v>45239.459494831208</v>
      </c>
      <c r="M20" s="107">
        <f>_xlfn.FORECAST.ETS(M3,B20:L20,B3:L3,1,0,1)</f>
        <v>48984.303460678857</v>
      </c>
    </row>
    <row r="21" spans="1:13">
      <c r="A21" s="50" t="s">
        <v>60</v>
      </c>
      <c r="B21" s="122">
        <v>1823</v>
      </c>
      <c r="C21" s="103">
        <v>3118</v>
      </c>
      <c r="D21" s="103">
        <v>4768</v>
      </c>
      <c r="E21" s="103">
        <v>5097</v>
      </c>
      <c r="F21" s="121">
        <v>6536</v>
      </c>
      <c r="G21" s="105">
        <f>_xlfn.FORECAST.ETS(G3,B21:F21,B3:F3)</f>
        <v>7366.4197739492274</v>
      </c>
      <c r="H21" s="106">
        <f>_xlfn.FORECAST.ETS(H3,B21:G21,B3:G3,1,0,1)</f>
        <v>8487.1367910600929</v>
      </c>
      <c r="I21" s="106">
        <f>_xlfn.FORECAST.ETS(I3,B21:H21,B3:H3,1,0,1)</f>
        <v>9381.5394069346221</v>
      </c>
      <c r="J21" s="106">
        <f>_xlfn.FORECAST.ETS(J3,B21:I21,B3:I3,1,0,1)</f>
        <v>10546.880204385465</v>
      </c>
      <c r="K21" s="106">
        <f>_xlfn.FORECAST.ETS(K3,B21:J21,B3:J3,1,0,1)</f>
        <v>11596.897689850572</v>
      </c>
      <c r="L21" s="106">
        <f>_xlfn.FORECAST.ETS(L3,B21:K21,B3:K3,1,0,1)</f>
        <v>12833.132330599376</v>
      </c>
      <c r="M21" s="107">
        <f>_xlfn.FORECAST.ETS(M3,B21:L21,B3:L3,1,0,1)</f>
        <v>13777.443544592767</v>
      </c>
    </row>
    <row r="22" spans="1:13">
      <c r="A22" s="59" t="s">
        <v>61</v>
      </c>
      <c r="B22" s="102">
        <v>28089</v>
      </c>
      <c r="C22" s="109">
        <v>33887</v>
      </c>
      <c r="D22" s="109">
        <v>43816</v>
      </c>
      <c r="E22" s="109">
        <v>57883</v>
      </c>
      <c r="F22" s="110">
        <v>68391</v>
      </c>
      <c r="G22" s="112">
        <f>_xlfn.FORECAST.ETS(G3,B22:F22,B3:F3)</f>
        <v>78525.423133309145</v>
      </c>
      <c r="H22" s="112">
        <f>_xlfn.FORECAST.ETS(H3,B22:G22,B3:G3,1,0,1)</f>
        <v>89451.280776458938</v>
      </c>
      <c r="I22" s="112">
        <f>_xlfn.FORECAST.ETS(I3,B22:H22,B3:H3,1,0,1)</f>
        <v>100065.20193291895</v>
      </c>
      <c r="J22" s="112">
        <f>_xlfn.FORECAST.ETS(J3,B22:I22,B3:I3,1,0,1)</f>
        <v>110735.59910097909</v>
      </c>
      <c r="K22" s="112">
        <f>_xlfn.FORECAST.ETS(K3,B21:J21,B3:J3,1,0,1)</f>
        <v>11596.897689850572</v>
      </c>
      <c r="L22" s="112">
        <f>_xlfn.FORECAST.ETS(L3,B22:K22,B3:K3,1,0,1)</f>
        <v>83534.211864311277</v>
      </c>
      <c r="M22" s="113">
        <f>_xlfn.FORECAST.ETS(M3,B22:L22,B3:L3,1,0,1)</f>
        <v>86637.615287832683</v>
      </c>
    </row>
    <row r="23" spans="1:13">
      <c r="A23" s="50" t="s">
        <v>23</v>
      </c>
      <c r="B23" s="102">
        <v>8265</v>
      </c>
      <c r="C23" s="104">
        <v>8227</v>
      </c>
      <c r="D23" s="104">
        <v>7694</v>
      </c>
      <c r="E23" s="103">
        <v>24743</v>
      </c>
      <c r="F23" s="121">
        <v>23495</v>
      </c>
      <c r="G23" s="106">
        <f>_xlfn.FORECAST.ETS(G3,B23:F23,B3:F3)</f>
        <v>32781.231921194456</v>
      </c>
      <c r="H23" s="106">
        <f>_xlfn.FORECAST.ETS(H3,B23:G23,B3:G3,1,0,1)</f>
        <v>38279.077799612947</v>
      </c>
      <c r="I23" s="106">
        <f>_xlfn.FORECAST.ETS(I3,B23:H23,B3:H3,1,0,1)</f>
        <v>43332.796494864488</v>
      </c>
      <c r="J23" s="106">
        <f>_xlfn.FORECAST.ETS(J3,B23:I23,B3:I3,1,0,1)</f>
        <v>46532.27891220359</v>
      </c>
      <c r="K23" s="106">
        <f>_xlfn.FORECAST.ETS(K3,B23:J23,B3:J3,1,0,1)</f>
        <v>59737.909214431529</v>
      </c>
      <c r="L23" s="106">
        <f>_xlfn.FORECAST.ETS(L3,B23:K23,B3:K3,1,0,1)</f>
        <v>61843.185714200037</v>
      </c>
      <c r="M23" s="107">
        <f>_xlfn.FORECAST.ETS(M3,B23:L23,B3:L3,1,0,1)</f>
        <v>68056.400771282148</v>
      </c>
    </row>
    <row r="24" spans="1:13">
      <c r="A24" s="50" t="s">
        <v>62</v>
      </c>
      <c r="B24" s="102">
        <v>7410</v>
      </c>
      <c r="C24" s="103">
        <v>9249</v>
      </c>
      <c r="D24" s="103">
        <v>12607</v>
      </c>
      <c r="E24" s="103">
        <v>20975</v>
      </c>
      <c r="F24" s="121">
        <v>27213</v>
      </c>
      <c r="G24" s="105">
        <f>_xlfn.FORECAST.ETS(G3,B24:F24,B3:F3)</f>
        <v>31703.793425555901</v>
      </c>
      <c r="H24" s="106">
        <f>_xlfn.FORECAST.ETS(H3,B24:G24,B3:G3,1,0,1)</f>
        <v>37291.165363513122</v>
      </c>
      <c r="I24" s="106">
        <f>_xlfn.FORECAST.ETS(I3,B24:H24,B3:H3,1,0,1)</f>
        <v>42596.832837215043</v>
      </c>
      <c r="J24" s="106">
        <f>_xlfn.FORECAST.ETS(J3,B24:I24,B3:I3,1,0,1)</f>
        <v>47955.364052883873</v>
      </c>
      <c r="K24" s="106">
        <f>_xlfn.FORECAST.ETS(K3,B24:J24,B3:J3,1,0,1)</f>
        <v>53326.304984296068</v>
      </c>
      <c r="L24" s="106">
        <f>_xlfn.FORECAST.ETS(L3,B24:K24,B3:K3,1,0,1)</f>
        <v>58703.627961712577</v>
      </c>
      <c r="M24" s="107">
        <f>_xlfn.FORECAST.ETS(M3,B24:L24,B3:L3,1,0,1)</f>
        <v>64084.394835163461</v>
      </c>
    </row>
    <row r="25" spans="1:13">
      <c r="A25" s="50" t="s">
        <v>64</v>
      </c>
      <c r="B25" s="102" t="s">
        <v>74</v>
      </c>
      <c r="C25" s="88"/>
      <c r="D25" s="123" t="s">
        <v>63</v>
      </c>
      <c r="E25" s="106"/>
      <c r="F25" s="124" t="s">
        <v>63</v>
      </c>
      <c r="G25" s="106"/>
      <c r="H25" s="106"/>
      <c r="I25" s="106"/>
      <c r="J25" s="106"/>
      <c r="K25" s="106"/>
      <c r="L25" s="106"/>
      <c r="M25" s="107"/>
    </row>
    <row r="26" spans="1:13">
      <c r="A26" s="58" t="s">
        <v>65</v>
      </c>
      <c r="B26" s="102"/>
      <c r="C26" s="88"/>
      <c r="D26" s="88"/>
      <c r="E26" s="106"/>
      <c r="F26" s="107"/>
      <c r="G26" s="106"/>
      <c r="H26" s="106"/>
      <c r="I26" s="106"/>
      <c r="J26" s="106"/>
      <c r="K26" s="106"/>
      <c r="L26" s="106"/>
      <c r="M26" s="107"/>
    </row>
    <row r="27" spans="1:13">
      <c r="A27" s="50" t="s">
        <v>73</v>
      </c>
      <c r="B27" s="102">
        <v>0</v>
      </c>
      <c r="C27" s="103">
        <v>0</v>
      </c>
      <c r="D27" s="103">
        <v>0</v>
      </c>
      <c r="E27" s="103">
        <v>0</v>
      </c>
      <c r="F27" s="121">
        <v>0</v>
      </c>
      <c r="G27" s="105">
        <f>_xlfn.FORECAST.ETS(G3,B27:F27,B3:F3)</f>
        <v>0</v>
      </c>
      <c r="H27" s="106">
        <f>_xlfn.FORECAST.ETS(H3,B27:G27,B3:G3,1,0,1)</f>
        <v>0</v>
      </c>
      <c r="I27" s="106">
        <f>_xlfn.FORECAST.ETS(I3,B27:H27,B3:H3,1,0,1)</f>
        <v>0</v>
      </c>
      <c r="J27" s="106">
        <f>_xlfn.FORECAST.ETS(J3,B27:I27,B3:I3,1,0,1)</f>
        <v>0</v>
      </c>
      <c r="K27" s="106">
        <f>_xlfn.FORECAST.ETS(K3,B27:J27,B3:J3,1,0,1)</f>
        <v>0</v>
      </c>
      <c r="L27" s="106">
        <f>_xlfn.FORECAST.ETS(L3,B27:K27,B3:K3,1,0,1)</f>
        <v>0</v>
      </c>
      <c r="M27" s="107">
        <f>_xlfn.FORECAST.ETS(M3,B27:L27,B3:L3,1,0,1)</f>
        <v>0</v>
      </c>
    </row>
    <row r="28" spans="1:13">
      <c r="A28" s="50" t="s">
        <v>72</v>
      </c>
      <c r="B28" s="102">
        <v>5</v>
      </c>
      <c r="C28" s="103">
        <v>5</v>
      </c>
      <c r="D28" s="103">
        <v>5</v>
      </c>
      <c r="E28" s="103">
        <v>5</v>
      </c>
      <c r="F28" s="121">
        <v>5</v>
      </c>
      <c r="G28" s="105">
        <f>_xlfn.FORECAST.ETS(G3,B28:F28,B3:F3)</f>
        <v>5</v>
      </c>
      <c r="H28" s="106">
        <f>_xlfn.FORECAST.ETS(H3,B28:G28,B3:G3,1,0,1)</f>
        <v>5</v>
      </c>
      <c r="I28" s="106">
        <f>_xlfn.FORECAST.ETS(I3,B28:H28,B3:H3,1,0,1)</f>
        <v>5</v>
      </c>
      <c r="J28" s="106">
        <f>_xlfn.FORECAST.ETS(J3,B28:I28,B3:I3,1,0,1)</f>
        <v>5</v>
      </c>
      <c r="K28" s="106">
        <f>_xlfn.FORECAST.ETS(K3,B28:J28,B3:J3,1,0,1)</f>
        <v>5</v>
      </c>
      <c r="L28" s="106">
        <f>_xlfn.FORECAST.ETS(L3,B28:K28,B3:K3,1,0,1)</f>
        <v>5</v>
      </c>
      <c r="M28" s="107">
        <f>_xlfn.FORECAST.ETS(M3,B28:L28,B3:L3,1,0,1)</f>
        <v>5</v>
      </c>
    </row>
    <row r="29" spans="1:13">
      <c r="A29" s="50" t="s">
        <v>66</v>
      </c>
      <c r="B29" s="102">
        <v>-1837</v>
      </c>
      <c r="C29" s="103">
        <v>-1837</v>
      </c>
      <c r="D29" s="103">
        <v>-1837</v>
      </c>
      <c r="E29" s="103">
        <v>-1837</v>
      </c>
      <c r="F29" s="104">
        <v>-1837</v>
      </c>
      <c r="G29" s="105">
        <f>_xlfn.FORECAST.ETS(G3,B29:F29,B3:F3)</f>
        <v>-1837</v>
      </c>
      <c r="H29" s="106">
        <f>_xlfn.FORECAST.ETS(H3,B29:G29,B3:G3,1,0,1)</f>
        <v>-1837</v>
      </c>
      <c r="I29" s="106">
        <f>_xlfn.FORECAST.ETS(I3,B29:H29,B3:H3,1,0,1)</f>
        <v>-1837</v>
      </c>
      <c r="J29" s="106">
        <f>_xlfn.FORECAST.ETS(J3,B29:I29,B3:I3,1,0,1)</f>
        <v>-1837</v>
      </c>
      <c r="K29" s="106">
        <f>_xlfn.FORECAST.ETS(K3,B29:J29,B3:J3,1,0,1)</f>
        <v>-1837</v>
      </c>
      <c r="L29" s="106">
        <f>_xlfn.FORECAST.ETS(L3,B29:K29,B3:K3,1,0,1)</f>
        <v>-1837</v>
      </c>
      <c r="M29" s="107">
        <f>_xlfn.FORECAST.ETS(M3,B29:L29,B3:L3,1,0,1)</f>
        <v>-1837</v>
      </c>
    </row>
    <row r="30" spans="1:13">
      <c r="A30" s="50" t="s">
        <v>67</v>
      </c>
      <c r="B30" s="102">
        <v>11135</v>
      </c>
      <c r="C30" s="103">
        <v>13394</v>
      </c>
      <c r="D30" s="103">
        <v>17186</v>
      </c>
      <c r="E30" s="103">
        <v>21389</v>
      </c>
      <c r="F30" s="121">
        <v>26791</v>
      </c>
      <c r="G30" s="106">
        <f>_xlfn.FORECAST.ETS(G3,B33:F33,B3:F3)</f>
        <v>48664.361120355097</v>
      </c>
      <c r="H30" s="106">
        <f>_xlfn.FORECAST.ETS(H3,B30:G30,B3:G3,1,0,1)</f>
        <v>52265.336917357999</v>
      </c>
      <c r="I30" s="106">
        <f>_xlfn.FORECAST.ETS(I3,B30:H30,B3:H3,1,0,1)</f>
        <v>59579.314139707669</v>
      </c>
      <c r="J30" s="106">
        <f>_xlfn.FORECAST.ETS(J3,B30:I30,B3:I3,1,0,1)</f>
        <v>67202.480196214645</v>
      </c>
      <c r="K30" s="106">
        <f>_xlfn.FORECAST.ETS(K3,B30:J30,B3:J3,1,0,1)</f>
        <v>74910.079221374617</v>
      </c>
      <c r="L30" s="106">
        <f>_xlfn.FORECAST.ETS(L3,B30:K30,B3:K3,1,0,1)</f>
        <v>82665.176568571187</v>
      </c>
      <c r="M30" s="107">
        <f>_xlfn.FORECAST.ETS(M3,B30:L30,B3:L3,1,0,1)</f>
        <v>90447.970907820942</v>
      </c>
    </row>
    <row r="31" spans="1:13">
      <c r="A31" s="50" t="s">
        <v>68</v>
      </c>
      <c r="B31" s="102">
        <v>-511</v>
      </c>
      <c r="C31" s="103">
        <v>-723</v>
      </c>
      <c r="D31" s="103">
        <v>-985</v>
      </c>
      <c r="E31" s="103">
        <v>-484</v>
      </c>
      <c r="F31" s="121">
        <v>-1035</v>
      </c>
      <c r="G31" s="88">
        <f>_xlfn.FORECAST.ETS(G3,B31:F31,B3:F3,1,0,1)</f>
        <v>-688.16039224832002</v>
      </c>
      <c r="H31" s="88">
        <f>_xlfn.FORECAST.ETS(H3,B31:G31,B3:G3,1,0,1)</f>
        <v>-749.78494683701695</v>
      </c>
      <c r="I31" s="88">
        <f>_xlfn.FORECAST.ETS(I3,B31:H31,B3:H3,1,0,1)</f>
        <v>-751.64659303814005</v>
      </c>
      <c r="J31" s="88">
        <f>_xlfn.FORECAST.ETS(J3,B31:I31,B3:I3,1,0,1)</f>
        <v>-796.86543302035329</v>
      </c>
      <c r="K31" s="88">
        <f>_xlfn.FORECAST.ETS(K3,B31:J31,B3:J3,1,0,1)</f>
        <v>-809.36670595070586</v>
      </c>
      <c r="L31" s="88">
        <f>_xlfn.FORECAST.ETS(L3,B31:K31,B3:K3,1,0,1)</f>
        <v>-822.361471485165</v>
      </c>
      <c r="M31" s="107">
        <f>_xlfn.FORECAST.ETS(M3,B31:L31,B3:L3,1,0,1)</f>
        <v>-835.68016063888535</v>
      </c>
    </row>
    <row r="32" spans="1:13">
      <c r="A32" s="50" t="s">
        <v>69</v>
      </c>
      <c r="B32" s="122">
        <v>1949</v>
      </c>
      <c r="C32" s="103">
        <v>2545</v>
      </c>
      <c r="D32" s="103">
        <v>4916</v>
      </c>
      <c r="E32" s="103">
        <v>8636</v>
      </c>
      <c r="F32" s="121">
        <v>19625</v>
      </c>
      <c r="G32" s="106">
        <f>_xlfn.FORECAST.ETS(G3,B32:F32,B3:F3)</f>
        <v>21328.284823813185</v>
      </c>
      <c r="H32" s="106">
        <f>_xlfn.FORECAST.ETS(H3,B32:G32,B3:G3,1,0,1)</f>
        <v>26348.231565212493</v>
      </c>
      <c r="I32" s="106">
        <f>_xlfn.FORECAST.ETS(I3,B32:H32,B3:H3,1,0,1)</f>
        <v>30603.667812827192</v>
      </c>
      <c r="J32" s="106">
        <f>_xlfn.FORECAST.ETS(J3,B32:I32,B3:I3,1,0,1)</f>
        <v>35159.44441545786</v>
      </c>
      <c r="K32" s="106">
        <f>_xlfn.FORECAST.ETS(K3,B32:J32,B3:J3,1,0,1)</f>
        <v>39717.114623154805</v>
      </c>
      <c r="L32" s="106">
        <f>_xlfn.FORECAST.ETS(L3,B32:K32,B3:K3,1,0,1)</f>
        <v>44276.729960898054</v>
      </c>
      <c r="M32" s="107">
        <f>_xlfn.FORECAST.ETS(M3,B32:L32,B3:L3,1,0,1)</f>
        <v>48837.810669026847</v>
      </c>
    </row>
    <row r="33" spans="1:13">
      <c r="A33" s="60" t="s">
        <v>70</v>
      </c>
      <c r="B33" s="125">
        <v>10741</v>
      </c>
      <c r="C33" s="126">
        <v>13384</v>
      </c>
      <c r="D33" s="126">
        <v>19285</v>
      </c>
      <c r="E33" s="126">
        <v>27709</v>
      </c>
      <c r="F33" s="127">
        <v>43549</v>
      </c>
      <c r="G33" s="128">
        <f>_xlfn.FORECAST.ETS(G3,B33:F33,B3:F3)</f>
        <v>48664.361120355097</v>
      </c>
      <c r="H33" s="90">
        <f>_xlfn.FORECAST.ETS(H3,B33:G33,B3:G3,1,0,1)</f>
        <v>57808.282136697329</v>
      </c>
      <c r="I33" s="90">
        <f>_xlfn.FORECAST.ETS(I3,B33:H33,B3:H3,1,0,1)</f>
        <v>66147.998959909717</v>
      </c>
      <c r="J33" s="90">
        <f>_xlfn.FORECAST.ETS(J3,B33:I33,B3:I3,1,0,1)</f>
        <v>74665.142421005614</v>
      </c>
      <c r="K33" s="90">
        <f>_xlfn.FORECAST.ETS(K3,B33:J33,B3:J3,1,0,1)</f>
        <v>83203.775561039525</v>
      </c>
      <c r="L33" s="90">
        <f>_xlfn.FORECAST.ETS(L3,B33:K33,B3:K3,1,0,1)</f>
        <v>91754.314813719946</v>
      </c>
      <c r="M33" s="129">
        <f>_xlfn.FORECAST.ETS(M3,B33:L33,B3:L3,1,0,1)</f>
        <v>100311.63881887883</v>
      </c>
    </row>
    <row r="34" spans="1:13" ht="15.75" thickBot="1">
      <c r="A34" s="55" t="s">
        <v>71</v>
      </c>
      <c r="B34" s="130">
        <v>54505</v>
      </c>
      <c r="C34" s="116">
        <v>64747</v>
      </c>
      <c r="D34" s="116">
        <v>83402</v>
      </c>
      <c r="E34" s="116">
        <v>131310</v>
      </c>
      <c r="F34" s="117">
        <v>162648</v>
      </c>
      <c r="G34" s="118">
        <f>_xlfn.FORECAST.ETS(G3,B34:F34,B3:F3)</f>
        <v>188351.15369198672</v>
      </c>
      <c r="H34" s="119">
        <f>_xlfn.FORECAST.ETS(H3,B34:G34,B3:G3,1,0,1)</f>
        <v>218981.22371258072</v>
      </c>
      <c r="I34" s="119">
        <f>_xlfn.FORECAST.ETS(I3,B34:H34,B3:H3,1,0,1)</f>
        <v>248145.94599471838</v>
      </c>
      <c r="J34" s="119">
        <f>_xlfn.FORECAST.ETS(J3,B34:I34,B3:I3,1,0,1)</f>
        <v>277588.22165766009</v>
      </c>
      <c r="K34" s="119">
        <f>_xlfn.FORECAST.ETS(K3,B34:J34,B3:J3,1,0,1)</f>
        <v>307094.17038391088</v>
      </c>
      <c r="L34" s="119">
        <f>_xlfn.FORECAST.ETS(L3,B34:K34,B3:K3,1,0,1)</f>
        <v>336632.83386282739</v>
      </c>
      <c r="M34" s="120">
        <f>_xlfn.FORECAST.ETS(M3,B34:L34,B3:L3,1,0,1)</f>
        <v>366189.12449916865</v>
      </c>
    </row>
    <row r="35" spans="1:13" ht="15.75" thickTop="1">
      <c r="A35" s="4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>
      <c r="A36" s="4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>
      <c r="A37" s="4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>
      <c r="A38" s="4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>
      <c r="A40" s="4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>
      <c r="A41" s="4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>
      <c r="A42" s="5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>
      <c r="A43" s="4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5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>
      <c r="A45" s="5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>
      <c r="A46" s="5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3">
    <mergeCell ref="B2:F2"/>
    <mergeCell ref="G2:M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403-578F-434C-9AD2-D3E3EC28C2DA}">
  <dimension ref="A1:N51"/>
  <sheetViews>
    <sheetView topLeftCell="B8" workbookViewId="0">
      <selection activeCell="H47" sqref="H47"/>
    </sheetView>
  </sheetViews>
  <sheetFormatPr defaultRowHeight="15"/>
  <cols>
    <col min="1" max="1" width="63.42578125" customWidth="1"/>
    <col min="2" max="3" width="9.28515625" bestFit="1" customWidth="1"/>
    <col min="4" max="13" width="9.85546875" bestFit="1" customWidth="1"/>
  </cols>
  <sheetData>
    <row r="1" spans="1:13">
      <c r="A1" s="22" t="s">
        <v>25</v>
      </c>
    </row>
    <row r="2" spans="1:13">
      <c r="A2" s="19"/>
      <c r="B2" s="149" t="s">
        <v>9</v>
      </c>
      <c r="C2" s="150"/>
      <c r="D2" s="150"/>
      <c r="E2" s="150"/>
      <c r="F2" s="151"/>
      <c r="G2" s="149" t="s">
        <v>10</v>
      </c>
      <c r="H2" s="150"/>
      <c r="I2" s="150"/>
      <c r="J2" s="150"/>
      <c r="K2" s="150"/>
      <c r="L2" s="150"/>
      <c r="M2" s="151"/>
    </row>
    <row r="3" spans="1:13" ht="15.75" thickBot="1">
      <c r="A3" s="23" t="s">
        <v>124</v>
      </c>
      <c r="B3" s="18">
        <v>42004</v>
      </c>
      <c r="C3" s="13">
        <f>EOMONTH(B3,12)</f>
        <v>42369</v>
      </c>
      <c r="D3" s="13">
        <f t="shared" ref="D3:M3" si="0">EOMONTH(C3,12)</f>
        <v>42735</v>
      </c>
      <c r="E3" s="13">
        <f t="shared" si="0"/>
        <v>43100</v>
      </c>
      <c r="F3" s="20">
        <f t="shared" si="0"/>
        <v>43465</v>
      </c>
      <c r="G3" s="18">
        <f t="shared" si="0"/>
        <v>43830</v>
      </c>
      <c r="H3" s="13">
        <f t="shared" si="0"/>
        <v>44196</v>
      </c>
      <c r="I3" s="13">
        <f t="shared" si="0"/>
        <v>44561</v>
      </c>
      <c r="J3" s="13">
        <f t="shared" si="0"/>
        <v>44926</v>
      </c>
      <c r="K3" s="13">
        <f t="shared" si="0"/>
        <v>45291</v>
      </c>
      <c r="L3" s="13">
        <f t="shared" si="0"/>
        <v>45657</v>
      </c>
      <c r="M3" s="20">
        <f t="shared" si="0"/>
        <v>46022</v>
      </c>
    </row>
    <row r="4" spans="1:13" ht="30">
      <c r="A4" s="68" t="s">
        <v>77</v>
      </c>
      <c r="B4" s="105">
        <v>8658</v>
      </c>
      <c r="C4" s="106">
        <v>14557</v>
      </c>
      <c r="D4" s="106">
        <v>16175</v>
      </c>
      <c r="E4" s="106">
        <v>19934</v>
      </c>
      <c r="F4" s="107">
        <v>21856</v>
      </c>
      <c r="G4" s="105">
        <f>_xlfn.FORECAST.ETS(G3,B4:F4,B3:F3)</f>
        <v>25380.804184120494</v>
      </c>
      <c r="H4" s="106">
        <f>_xlfn.FORECAST.ETS(H3,B4:G4,B3:G3)</f>
        <v>26898.625775091499</v>
      </c>
      <c r="I4" s="106">
        <f>_xlfn.FORECAST.ETS(I3,B4:H4,B3:H3)</f>
        <v>30461.664570056539</v>
      </c>
      <c r="J4" s="106">
        <f>_xlfn.FORECAST.ETS(J3,B4:I4,B3:I3)</f>
        <v>32349.342694864426</v>
      </c>
      <c r="K4" s="106">
        <f>_xlfn.FORECAST.ETS(K3,B4:J4,B3:J3)</f>
        <v>35591.863546356464</v>
      </c>
      <c r="L4" s="106">
        <f>_xlfn.FORECAST.ETS(L3,B4:K4,B3:K3)</f>
        <v>37436.403283323962</v>
      </c>
      <c r="M4" s="107">
        <f>_xlfn.FORECAST.ETS(M3,B4:L4,B3:L3)</f>
        <v>41103.54769276255</v>
      </c>
    </row>
    <row r="5" spans="1:13">
      <c r="A5" s="68" t="s">
        <v>78</v>
      </c>
      <c r="B5" s="105"/>
      <c r="C5" s="106"/>
      <c r="D5" s="106"/>
      <c r="E5" s="106"/>
      <c r="F5" s="107"/>
      <c r="G5" s="105"/>
      <c r="H5" s="106"/>
      <c r="I5" s="106"/>
      <c r="J5" s="106"/>
      <c r="K5" s="106"/>
      <c r="L5" s="106"/>
      <c r="M5" s="107"/>
    </row>
    <row r="6" spans="1:13">
      <c r="A6" s="47" t="s">
        <v>36</v>
      </c>
      <c r="B6" s="105">
        <v>-241</v>
      </c>
      <c r="C6" s="106">
        <v>596</v>
      </c>
      <c r="D6" s="48">
        <v>2371</v>
      </c>
      <c r="E6" s="106">
        <v>3033</v>
      </c>
      <c r="F6" s="107">
        <v>10073</v>
      </c>
      <c r="G6" s="105">
        <f>_xlfn.FORECAST.ETS(G3,B6:F6,B3:F3)</f>
        <v>10768.447042510295</v>
      </c>
      <c r="H6" s="106">
        <f>_xlfn.FORECAST.ETS(H3,B6:G6,B3:G3)</f>
        <v>13606.69157652003</v>
      </c>
      <c r="I6" s="106">
        <f>_xlfn.FORECAST.ETS(I3,B6:H6,B3:H3)</f>
        <v>15935.960209507428</v>
      </c>
      <c r="J6" s="106">
        <f>_xlfn.FORECAST.ETS(J3,B6:I6,B3:I3)</f>
        <v>18490.895641141931</v>
      </c>
      <c r="K6" s="106">
        <f>_xlfn.FORECAST.ETS(K3,B6:J6,B3:J3)</f>
        <v>21039.408656807809</v>
      </c>
      <c r="L6" s="106">
        <f>_xlfn.FORECAST.ETS(L3,B6:K6,B3:K3)</f>
        <v>23583.711830295251</v>
      </c>
      <c r="M6" s="107">
        <f>_xlfn.FORECAST.ETS(M3,B6:L6,B3:L3)</f>
        <v>26125.241139343132</v>
      </c>
    </row>
    <row r="7" spans="1:13" ht="30">
      <c r="A7" s="68" t="s">
        <v>79</v>
      </c>
      <c r="B7" s="105"/>
      <c r="C7" s="106"/>
      <c r="D7" s="106"/>
      <c r="E7" s="106"/>
      <c r="F7" s="107"/>
      <c r="G7" s="105"/>
      <c r="H7" s="106"/>
      <c r="I7" s="106"/>
      <c r="J7" s="106"/>
      <c r="K7" s="106"/>
      <c r="L7" s="106"/>
      <c r="M7" s="107"/>
    </row>
    <row r="8" spans="1:13" ht="30">
      <c r="A8" s="47" t="s">
        <v>80</v>
      </c>
      <c r="B8" s="105">
        <v>4746</v>
      </c>
      <c r="C8" s="106">
        <v>6281</v>
      </c>
      <c r="D8" s="106">
        <v>8116</v>
      </c>
      <c r="E8" s="106">
        <v>11478</v>
      </c>
      <c r="F8" s="107">
        <v>15341</v>
      </c>
      <c r="G8" s="105">
        <f>_xlfn.FORECAST.ETS(G3,B8:F8,B3:F3)</f>
        <v>17487.194595347341</v>
      </c>
      <c r="H8" s="106">
        <f>_xlfn.FORECAST.ETS(H3,B8:G8,B3:G3)</f>
        <v>20328.525643528996</v>
      </c>
      <c r="I8" s="106">
        <f>_xlfn.FORECAST.ETS(I3,B8:H8,B3:H3,10,1)</f>
        <v>23048.886501654011</v>
      </c>
      <c r="J8" s="106">
        <f>_xlfn.FORECAST.ETS(J3,B8:I8,B3:I3,1,0,1)</f>
        <v>25791.532652623191</v>
      </c>
      <c r="K8" s="106">
        <f>_xlfn.FORECAST.ETS(K3,B8:J8,B3:J3,1,0,1)</f>
        <v>28539.888715317476</v>
      </c>
      <c r="L8" s="106">
        <f>_xlfn.FORECAST.ETS(L3,B8:K8,B3:K3,1,0,1)</f>
        <v>31291.191239306529</v>
      </c>
      <c r="M8" s="107">
        <f>_xlfn.FORECAST.ETS(M3,B8:L8,B3:L3,1,0,1)</f>
        <v>34044.092281282319</v>
      </c>
    </row>
    <row r="9" spans="1:13">
      <c r="A9" s="47" t="s">
        <v>81</v>
      </c>
      <c r="B9" s="105">
        <v>1497</v>
      </c>
      <c r="C9" s="131">
        <v>2119</v>
      </c>
      <c r="D9" s="48">
        <v>2975</v>
      </c>
      <c r="E9" s="106">
        <v>4215</v>
      </c>
      <c r="F9" s="107">
        <v>5418</v>
      </c>
      <c r="G9" s="105">
        <f>_xlfn.FORECAST.ETS(G3,B9:F9,B3:F3)</f>
        <v>6316.5956926774297</v>
      </c>
      <c r="H9" s="106">
        <f>_xlfn.FORECAST.ETS(H3,B9:G9,B3:G3)</f>
        <v>7362.1344149319784</v>
      </c>
      <c r="I9" s="106">
        <f>_xlfn.FORECAST.ETS(I3,B9:H9,B3:H3,1,0,1)</f>
        <v>8375.2925306685866</v>
      </c>
      <c r="J9" s="106">
        <f>_xlfn.FORECAST.ETS(J3,B9:I9,B3:I3,1,0,1)</f>
        <v>9394.3413604786747</v>
      </c>
      <c r="K9" s="106">
        <f>_xlfn.FORECAST.ETS(K3,B9:J9,B3:J3,1,0,1)</f>
        <v>10414.794746891745</v>
      </c>
      <c r="L9" s="106">
        <f>_xlfn.FORECAST.ETS(L3,B9:K9,B3:K3,1,0,1)</f>
        <v>11435.970919020539</v>
      </c>
      <c r="M9" s="107">
        <f>_xlfn.FORECAST.ETS(M3,B9:L9,B3:L3,1,0,1)</f>
        <v>12457.537510297885</v>
      </c>
    </row>
    <row r="10" spans="1:13">
      <c r="A10" s="47" t="s">
        <v>82</v>
      </c>
      <c r="B10" s="105">
        <v>129</v>
      </c>
      <c r="C10" s="132">
        <v>155</v>
      </c>
      <c r="D10" s="48">
        <v>160</v>
      </c>
      <c r="E10" s="106">
        <v>202</v>
      </c>
      <c r="F10" s="107">
        <v>274</v>
      </c>
      <c r="G10" s="105">
        <f>_xlfn.FORECAST.ETS(G3,B10:F10,B3:F3)</f>
        <v>293.79904581435238</v>
      </c>
      <c r="H10" s="106">
        <f>_xlfn.FORECAST.ETS(H3,B10:G10,B3:G3)</f>
        <v>331.21374427810883</v>
      </c>
      <c r="I10" s="106">
        <f>_xlfn.FORECAST.ETS(I3,B10:H10,B3:H3,1,0,1)</f>
        <v>365.94597140953863</v>
      </c>
      <c r="J10" s="106">
        <f>_xlfn.FORECAST.ETS(J3,B10:I10,B3:I3,1,0,1)</f>
        <v>402.06120383525007</v>
      </c>
      <c r="K10" s="106">
        <f>_xlfn.FORECAST.ETS(K3,B10:J10,B3:J3,1,0,1)</f>
        <v>438.13743026604715</v>
      </c>
      <c r="L10" s="106">
        <f>_xlfn.FORECAST.ETS(L3,B10:K10,B3:K3,1,0,1)</f>
        <v>474.22509060221694</v>
      </c>
      <c r="M10" s="107">
        <f>_xlfn.FORECAST.ETS(M3,B10:L10,B3:L3,1,0,1)</f>
        <v>510.32145881862795</v>
      </c>
    </row>
    <row r="11" spans="1:13">
      <c r="A11" t="s">
        <v>110</v>
      </c>
      <c r="B11" s="105">
        <v>-3</v>
      </c>
      <c r="C11" s="132">
        <v>5</v>
      </c>
      <c r="D11" s="88"/>
      <c r="E11" s="88"/>
      <c r="F11" s="107"/>
      <c r="G11" s="88">
        <f>_xlfn.FORECAST.ETS(G3,B11:F11,B3:F3,1,0,1)</f>
        <v>1.1460199432000004</v>
      </c>
      <c r="H11" s="88">
        <f>_xlfn.FORECAST.ETS(H3,B11:G11,B3:G3,1,0,1)</f>
        <v>-3.2414726748474658</v>
      </c>
      <c r="I11" s="88">
        <f>_xlfn.FORECAST.ETS(I3,B11:H11,B3:H3,1,0,1)</f>
        <v>-1.8856857008392403</v>
      </c>
      <c r="J11" s="88">
        <f>_xlfn.FORECAST.ETS(J3,B11:I11,B3:I3,1,0,1)</f>
        <v>-5.3532065773190984</v>
      </c>
      <c r="K11" s="88">
        <f>_xlfn.FORECAST.ETS(K3,B11:J11,B3:J3,1,0,1)</f>
        <v>-4.6346827690452157</v>
      </c>
      <c r="L11" s="88">
        <f>_xlfn.FORECAST.ETS(L3,B11:K11,B3:K3,1,0,1)</f>
        <v>-7.8698686253090084</v>
      </c>
      <c r="M11" s="107">
        <f>_xlfn.FORECAST.ETS(M3,B11:L11,B3:L3,1,0,1)</f>
        <v>-7.5057047509859913</v>
      </c>
    </row>
    <row r="12" spans="1:13">
      <c r="A12" s="47" t="s">
        <v>82</v>
      </c>
      <c r="D12" s="88">
        <v>160</v>
      </c>
      <c r="E12" s="88">
        <v>202</v>
      </c>
      <c r="F12" s="141">
        <v>274</v>
      </c>
    </row>
    <row r="13" spans="1:13">
      <c r="A13" s="47" t="s">
        <v>83</v>
      </c>
      <c r="B13" s="105">
        <v>62</v>
      </c>
      <c r="C13" s="132">
        <v>245</v>
      </c>
      <c r="D13" s="106">
        <v>-20</v>
      </c>
      <c r="E13" s="106">
        <v>-292</v>
      </c>
      <c r="F13" s="107">
        <v>219</v>
      </c>
      <c r="G13" s="105">
        <f>_xlfn.FORECAST.ETS(G3,B13:F13,B3:F3)</f>
        <v>-289.76469754376944</v>
      </c>
      <c r="H13" s="106">
        <f>_xlfn.FORECAST.ETS(H3,B13:G13,B3:G3)</f>
        <v>-345.35600102062369</v>
      </c>
      <c r="I13" s="106">
        <f>_xlfn.FORECAST.ETS(I3,B13:H13,B3:H3,1,0,1)</f>
        <v>-398.62915635019709</v>
      </c>
      <c r="J13" s="106">
        <f>_xlfn.FORECAST.ETS(J3,B13:I13,B3:I3,1,0,1)</f>
        <v>-548.43326482747216</v>
      </c>
      <c r="K13" s="106">
        <f>_xlfn.FORECAST.ETS(K3,B13:J13,B3:J3,1,0,1)</f>
        <v>-758.14539601823719</v>
      </c>
      <c r="L13" s="106">
        <f>_xlfn.FORECAST.ETS(L3,B13:K13,B3:K3,1,0,1)</f>
        <v>-750.15739059570546</v>
      </c>
      <c r="M13" s="107">
        <f>_xlfn.FORECAST.ETS(M3,B13:L13,B3:L3,1,0,1)</f>
        <v>-847.16546541179252</v>
      </c>
    </row>
    <row r="14" spans="1:13">
      <c r="A14" s="47" t="s">
        <v>20</v>
      </c>
      <c r="B14" s="105">
        <v>-316</v>
      </c>
      <c r="C14" s="133">
        <v>81</v>
      </c>
      <c r="D14" s="106">
        <v>-246</v>
      </c>
      <c r="E14" s="106">
        <v>-29</v>
      </c>
      <c r="F14" s="107">
        <v>441</v>
      </c>
      <c r="G14" s="105">
        <f>_xlfn.FORECAST.ETS(G3,B14:F14,B3:F3)</f>
        <v>458.48666698714783</v>
      </c>
      <c r="H14" s="106">
        <f>_xlfn.FORECAST.ETS(H3,B14:G14,B3:G3)</f>
        <v>563.1466588107387</v>
      </c>
      <c r="I14" s="106">
        <f>_xlfn.FORECAST.ETS(I3,B14:H14,B3:H3,1,0,1)</f>
        <v>704.47407458875819</v>
      </c>
      <c r="J14" s="106">
        <f>_xlfn.FORECAST.ETS(J3,B14:I14,B3:I3,1,0,1)</f>
        <v>840.84419974950549</v>
      </c>
      <c r="K14" s="106">
        <f>_xlfn.FORECAST.ETS(K3,B14:J14,B3:J3,1,0,1)</f>
        <v>975.77370914791959</v>
      </c>
      <c r="L14" s="106">
        <f>_xlfn.FORECAST.ETS(L3,B14:K14,B3:K3,1,0,1)</f>
        <v>1109.3779172421794</v>
      </c>
      <c r="M14" s="107">
        <f>_xlfn.FORECAST.ETS(M3,B14:L14,B3:L3,1,0,1)</f>
        <v>1241.7647947140429</v>
      </c>
    </row>
    <row r="15" spans="1:13">
      <c r="A15" t="s">
        <v>108</v>
      </c>
      <c r="B15" s="105">
        <v>-6</v>
      </c>
      <c r="C15" s="88">
        <v>-119</v>
      </c>
      <c r="D15" s="88"/>
      <c r="E15" s="88"/>
      <c r="F15" s="107"/>
      <c r="G15" s="88">
        <f>_xlfn.FORECAST.ETS(G3,B15:F15,B3:F3,1,0,1)</f>
        <v>14.560832286989843</v>
      </c>
      <c r="H15" s="88">
        <f>_xlfn.FORECAST.ETS(H3,B15:G15,B3:G3,1,0,1)</f>
        <v>51.435807307534688</v>
      </c>
      <c r="I15" s="88">
        <f>_xlfn.FORECAST.ETS(I3,B15:H15,B3:H3,1,0,1)</f>
        <v>61.348141625674664</v>
      </c>
      <c r="J15" s="88">
        <f>_xlfn.FORECAST.ETS(J3,B15:I15,B3:I3,1,0,1)</f>
        <v>78.95245806585568</v>
      </c>
      <c r="K15" s="88">
        <f>_xlfn.FORECAST.ETS(K3,B15:J15,B3:J3,1,0,1)</f>
        <v>96.36932073463862</v>
      </c>
      <c r="L15" s="88">
        <f>_xlfn.FORECAST.ETS(L3,B15:K15,B3:K3,1,0,1)</f>
        <v>113.66242259558278</v>
      </c>
      <c r="M15" s="107">
        <f>_xlfn.FORECAST.ETS(M3,B15:L15,B3:L3,1,0,1)</f>
        <v>130.87312799893246</v>
      </c>
    </row>
    <row r="16" spans="1:13">
      <c r="A16" s="68" t="s">
        <v>84</v>
      </c>
      <c r="B16" s="105"/>
      <c r="C16" s="106"/>
      <c r="D16" s="106"/>
      <c r="E16" s="106"/>
      <c r="F16" s="107"/>
      <c r="G16" s="105"/>
      <c r="H16" s="106"/>
      <c r="I16" s="106"/>
      <c r="J16" s="106"/>
      <c r="K16" s="106"/>
      <c r="L16" s="106"/>
      <c r="M16" s="107"/>
    </row>
    <row r="17" spans="1:13">
      <c r="A17" s="47" t="s">
        <v>24</v>
      </c>
      <c r="B17" s="105">
        <v>-1193</v>
      </c>
      <c r="C17" s="106">
        <v>-2187</v>
      </c>
      <c r="D17" s="106">
        <v>-1426</v>
      </c>
      <c r="E17" s="106">
        <v>-3583</v>
      </c>
      <c r="F17" s="107">
        <v>-1314</v>
      </c>
      <c r="G17" s="105">
        <f>_xlfn.FORECAST.ETS(G3,B17:F17,B3:F3)</f>
        <v>-3715.9399865567848</v>
      </c>
      <c r="H17" s="106">
        <f>_xlfn.FORECAST.ETS(H3,B17:G17,B3:G3,1,0,1)</f>
        <v>-2364.4282926639357</v>
      </c>
      <c r="I17" s="106">
        <f>_xlfn.FORECAST.ETS(I3,B17:H17,B3:H3,1,0,1)</f>
        <v>-4019.0192624189558</v>
      </c>
      <c r="J17" s="106">
        <f>_xlfn.FORECAST.ETS(J3,B17:I17,B3:I3,1,0,1)</f>
        <v>-2878.9300642118269</v>
      </c>
      <c r="K17" s="106">
        <f>_xlfn.FORECAST.ETS(K3,B17:J17,B3:J3,1,0,1)</f>
        <v>-4642.2607676179705</v>
      </c>
      <c r="L17" s="106">
        <f>_xlfn.FORECAST.ETS(L3,B17:K17,B3:K3,1,0,1)</f>
        <v>-3255.4665160333393</v>
      </c>
      <c r="M17" s="107">
        <f>_xlfn.FORECAST.ETS(M3,B17:L17,B3:L3,1,0,1)</f>
        <v>-5129.4387036341786</v>
      </c>
    </row>
    <row r="18" spans="1:13">
      <c r="A18" s="47" t="s">
        <v>53</v>
      </c>
      <c r="B18" s="105">
        <v>-1039</v>
      </c>
      <c r="C18" s="106">
        <v>-1755</v>
      </c>
      <c r="D18" s="106">
        <v>-3436</v>
      </c>
      <c r="E18" s="106">
        <v>-4780</v>
      </c>
      <c r="F18" s="107">
        <v>-4615</v>
      </c>
      <c r="G18" s="105">
        <f>_xlfn.FORECAST.ETS(G3,B18:F18,B3:F3)</f>
        <v>-5977.0551471278777</v>
      </c>
      <c r="H18" s="106">
        <f>_xlfn.FORECAST.ETS(H3,B18:G18,B3:G3,1,0,1)</f>
        <v>-6919.2658065107489</v>
      </c>
      <c r="I18" s="106">
        <f>_xlfn.FORECAST.ETS(I3,B18:H18,B3:H3,1,0,1)</f>
        <v>-7859.7441056122552</v>
      </c>
      <c r="J18" s="106">
        <f>_xlfn.FORECAST.ETS(J3,B18:I18,B3:I3,1,0,1)</f>
        <v>-8762.4659750937717</v>
      </c>
      <c r="K18" s="106">
        <f>_xlfn.FORECAST.ETS(K3,B18:J18,B3:J3,1,0,1)</f>
        <v>-9740.3496884659271</v>
      </c>
      <c r="L18" s="106">
        <f>_xlfn.FORECAST.ETS(L3,B18:K18,B3:K3,1,0,1)</f>
        <v>-10677.689201251189</v>
      </c>
      <c r="M18" s="107">
        <f>_xlfn.FORECAST.ETS(M3,B18:L18,B3:L3,1,0,1)</f>
        <v>-11615.67588775313</v>
      </c>
    </row>
    <row r="19" spans="1:13">
      <c r="A19" s="47" t="s">
        <v>58</v>
      </c>
      <c r="B19" s="105">
        <v>1759</v>
      </c>
      <c r="C19" s="106">
        <v>4294</v>
      </c>
      <c r="D19" s="106">
        <v>5030</v>
      </c>
      <c r="E19" s="106">
        <v>7100</v>
      </c>
      <c r="F19" s="107">
        <v>3263</v>
      </c>
      <c r="G19" s="105">
        <f>_xlfn.FORECAST.ETS(G3,B19:F19,B3:F3)</f>
        <v>5331.1106434574849</v>
      </c>
      <c r="H19" s="106">
        <f>_xlfn.FORECAST.ETS(H3,B19:G19,B3:G3,1,0,1)</f>
        <v>5510.2493485079194</v>
      </c>
      <c r="I19" s="106">
        <f>_xlfn.FORECAST.ETS(I3,B19:H19,B3:H3,1,0,1)</f>
        <v>6016.465673820855</v>
      </c>
      <c r="J19" s="106">
        <f>_xlfn.FORECAST.ETS(J3,B19:I19,B3:I3,1,0,1)</f>
        <v>4934.1898094947246</v>
      </c>
      <c r="K19" s="106">
        <f>_xlfn.FORECAST.ETS(K3,B19:J19,B3:J3,1,0,1)</f>
        <v>5843.6716786684246</v>
      </c>
      <c r="L19" s="106">
        <f>_xlfn.FORECAST.ETS(L3,B19:K19,B3:K3,1,0,1)</f>
        <v>4693.2983961810642</v>
      </c>
      <c r="M19" s="107">
        <f>_xlfn.FORECAST.ETS(M3,B19:L19,B3:L3,1,0,1)</f>
        <v>5508.2219078133703</v>
      </c>
    </row>
    <row r="20" spans="1:13">
      <c r="A20" s="47" t="s">
        <v>59</v>
      </c>
      <c r="B20" s="105">
        <v>706</v>
      </c>
      <c r="C20" s="106">
        <v>913</v>
      </c>
      <c r="D20" s="106">
        <v>1724</v>
      </c>
      <c r="E20" s="106">
        <v>283</v>
      </c>
      <c r="F20" s="107">
        <v>472</v>
      </c>
      <c r="G20" s="105">
        <f>_xlfn.FORECAST.ETS(G3,B20:F20,B3:F3)</f>
        <v>288.8946369311318</v>
      </c>
      <c r="H20" s="106">
        <f>_xlfn.FORECAST.ETS(H3,B20:G20,B3:G3,1,0,1)</f>
        <v>39.920654865730363</v>
      </c>
      <c r="I20" s="106">
        <f>_xlfn.FORECAST.ETS(I3,B20:H20,B3:H3,1,0,1)</f>
        <v>-76.008511910334974</v>
      </c>
      <c r="J20" s="106">
        <f>_xlfn.FORECAST.ETS(J3,B20:I20,B3:I3,1,0,1)</f>
        <v>-254.83776933582189</v>
      </c>
      <c r="K20" s="106">
        <f>_xlfn.FORECAST.ETS(K3,B20:J20,B3:J3,1,0,1)</f>
        <v>-431.9603540438232</v>
      </c>
      <c r="L20" s="106">
        <f>_xlfn.FORECAST.ETS(L3,B20:K20,B3:K3,1,0,1)</f>
        <v>-607.96187725876587</v>
      </c>
      <c r="M20" s="107">
        <f>_xlfn.FORECAST.ETS(M3,B20:L20,B3:L3,1,0,1)</f>
        <v>-783.22247719021505</v>
      </c>
    </row>
    <row r="21" spans="1:13">
      <c r="A21" t="s">
        <v>109</v>
      </c>
      <c r="B21" s="105">
        <v>4433</v>
      </c>
      <c r="C21" s="132">
        <v>-6109</v>
      </c>
      <c r="D21" s="88"/>
      <c r="E21" s="88"/>
      <c r="F21" s="107"/>
      <c r="G21" s="88">
        <f>_xlfn.FORECAST.ETS(G3,B21:F21,B3:F3,1,0,1)</f>
        <v>-1669.5117531311773</v>
      </c>
      <c r="H21" s="88">
        <f>_xlfn.FORECAST.ETS(H3,B21:G21,B3:G3,1,0,1)</f>
        <v>3911.9251277743215</v>
      </c>
      <c r="I21" s="88">
        <f>_xlfn.FORECAST.ETS(I3,B21:H21,B3:H3,1,0,1)</f>
        <v>2011.2140986560357</v>
      </c>
      <c r="J21" s="88">
        <f>_xlfn.FORECAST.ETS(J3,B21:I21,B3:I3,1,0,1)</f>
        <v>6366.1918036226853</v>
      </c>
      <c r="K21" s="88">
        <f>_xlfn.FORECAST.ETS(K3,B21:J21,B3:J3,1,0,1)</f>
        <v>5314.0342774966994</v>
      </c>
      <c r="L21" s="88">
        <f>_xlfn.FORECAST.ETS(L3,B21:K21,B3:K3,1,0,1)</f>
        <v>9381.630501048734</v>
      </c>
      <c r="M21" s="107">
        <f>_xlfn.FORECAST.ETS(M3,B21:L21,B3:L3,1,0,1)</f>
        <v>8782.2569506057316</v>
      </c>
    </row>
    <row r="22" spans="1:13">
      <c r="A22" s="47" t="s">
        <v>60</v>
      </c>
      <c r="B22" s="114">
        <v>-3692</v>
      </c>
      <c r="C22" s="131">
        <v>7401</v>
      </c>
      <c r="D22" s="88">
        <v>1955</v>
      </c>
      <c r="E22" s="106">
        <v>738</v>
      </c>
      <c r="F22" s="107">
        <v>1151</v>
      </c>
      <c r="G22" s="105">
        <f>_xlfn.FORECAST.ETS(G3,B22:F22,B3:F3)</f>
        <v>1118.4512481773911</v>
      </c>
      <c r="H22" s="106">
        <f>_xlfn.FORECAST.ETS(H3,B22:G22,B3:G3,1,0,1)</f>
        <v>409.24549709508699</v>
      </c>
      <c r="I22" s="106">
        <f>_xlfn.FORECAST.ETS(I3,B22:H22,B3:H3,1,0,1)</f>
        <v>736.86965679263176</v>
      </c>
      <c r="J22" s="106">
        <f>_xlfn.FORECAST.ETS(J3,B22:I22,B3:I3,1,0,1)</f>
        <v>641.00756071026399</v>
      </c>
      <c r="K22" s="106">
        <f>_xlfn.FORECAST.ETS(K3,B22:J22,B3:J3,1,0,1)</f>
        <v>544.18463699454242</v>
      </c>
      <c r="L22" s="106">
        <f>_xlfn.FORECAST.ETS(L3,B22:K22,B3:K3,1,0,1)</f>
        <v>446.28158868013793</v>
      </c>
      <c r="M22" s="107">
        <f>_xlfn.FORECAST.ETS(M3,B22:L22,B3:L3,1,0,1)</f>
        <v>347.65209810751281</v>
      </c>
    </row>
    <row r="23" spans="1:13">
      <c r="A23" s="68" t="s">
        <v>85</v>
      </c>
      <c r="B23" s="105">
        <v>6842</v>
      </c>
      <c r="C23" s="112">
        <v>11920</v>
      </c>
      <c r="D23" s="112">
        <v>17203</v>
      </c>
      <c r="E23" s="112">
        <v>18365</v>
      </c>
      <c r="F23" s="113">
        <v>30723</v>
      </c>
      <c r="G23" s="112">
        <f>_xlfn.FORECAST.ETS(G3,B23:F23,B3:F3)</f>
        <v>29702.79377238503</v>
      </c>
      <c r="H23" s="112">
        <f>_xlfn.FORECAST.ETS(H3,B23:G23,B3:G3,1,0,1)</f>
        <v>38349.230973046142</v>
      </c>
      <c r="I23" s="112">
        <f>_xlfn.FORECAST.ETS(I3,B23:H23,B3:H3,1,0,1)</f>
        <v>40949.31800576071</v>
      </c>
      <c r="J23" s="112">
        <f>_xlfn.FORECAST.ETS(J3,B23:I23,B3:I3,1,0,1)</f>
        <v>48360.189777078827</v>
      </c>
      <c r="K23" s="112">
        <f>_xlfn.FORECAST.ETS(K3,B22:J22,B3:J3,1,0,1)</f>
        <v>544.18463699454242</v>
      </c>
      <c r="L23" s="112">
        <f>_xlfn.FORECAST.ETS(L3,B23:K23,B3:K3,1,0,1)</f>
        <v>34339.936032099387</v>
      </c>
      <c r="M23" s="113">
        <f>_xlfn.FORECAST.ETS(M3,B23:L23,B3:L3,1,0,1)</f>
        <v>36036.498671977126</v>
      </c>
    </row>
    <row r="24" spans="1:13">
      <c r="A24" s="68" t="s">
        <v>86</v>
      </c>
      <c r="B24" s="105"/>
      <c r="C24" s="106"/>
      <c r="D24" s="106"/>
      <c r="E24" s="106"/>
      <c r="F24" s="107"/>
      <c r="G24" s="105"/>
      <c r="H24" s="106"/>
      <c r="I24" s="106"/>
      <c r="J24" s="106"/>
      <c r="K24" s="106"/>
      <c r="L24" s="106"/>
      <c r="M24" s="107"/>
    </row>
    <row r="25" spans="1:13">
      <c r="A25" s="47" t="s">
        <v>87</v>
      </c>
      <c r="B25" s="105"/>
      <c r="C25" s="106">
        <v>-4589</v>
      </c>
      <c r="D25" s="48">
        <v>-7804</v>
      </c>
      <c r="E25" s="106">
        <v>-11955</v>
      </c>
      <c r="F25" s="107">
        <v>-13427</v>
      </c>
      <c r="G25" s="105">
        <f>_xlfn.FORECAST.ETS(G3,B25:F25,B3:F3)</f>
        <v>-16816.485604669753</v>
      </c>
      <c r="H25" s="106">
        <f>_xlfn.FORECAST.ETS(H3,B25:G25,B3:G3,1,0,1)</f>
        <v>-20038.41985405036</v>
      </c>
      <c r="I25" s="106">
        <f>_xlfn.FORECAST.ETS(I3,B25:H25,B3:H3,1,0,1)</f>
        <v>-23273.605460251536</v>
      </c>
      <c r="J25" s="106">
        <f>_xlfn.FORECAST.ETS(J3,B25:I25,B3:I3,1,0,1)</f>
        <v>-26465.718651848081</v>
      </c>
      <c r="K25" s="106">
        <f>_xlfn.FORECAST.ETS(K3,B25:J25,B3:J3,1,0,1)</f>
        <v>-29650.793950024268</v>
      </c>
      <c r="L25" s="106">
        <f>_xlfn.FORECAST.ETS(L3,B25:K25,B3:K3,1,0,1)</f>
        <v>-32831.942108759569</v>
      </c>
      <c r="M25" s="107">
        <f>_xlfn.FORECAST.ETS(M3,B25:L25,B3:L3,1,0,1)</f>
        <v>-36010.827957247544</v>
      </c>
    </row>
    <row r="26" spans="1:13">
      <c r="A26" s="47" t="s">
        <v>88</v>
      </c>
      <c r="B26" s="105">
        <v>-4893</v>
      </c>
      <c r="C26" s="106"/>
      <c r="D26" s="48">
        <v>1067</v>
      </c>
      <c r="E26" s="106">
        <v>1897</v>
      </c>
      <c r="F26" s="107">
        <v>2104</v>
      </c>
      <c r="G26" s="105">
        <f>_xlfn.FORECAST.ETS(G3,B26:F26,B3:F3)</f>
        <v>4513.6583559085539</v>
      </c>
      <c r="H26" s="106">
        <f>_xlfn.FORECAST.ETS(H3,B26:G26,B3:G3,1,0,1)</f>
        <v>5686.1312334637778</v>
      </c>
      <c r="I26" s="106">
        <f>_xlfn.FORECAST.ETS(I3,B26:H26,B3:H3,1,0,1)</f>
        <v>7227.1164108502262</v>
      </c>
      <c r="J26" s="106">
        <f>_xlfn.FORECAST.ETS(J3,B26:I26,B3:I3,1,0,1)</f>
        <v>8697.2652456307405</v>
      </c>
      <c r="K26" s="106">
        <f>_xlfn.FORECAST.ETS(K3,B26:J26,B3:J3,1,0,1)</f>
        <v>10161.685143498975</v>
      </c>
      <c r="L26" s="106">
        <f>_xlfn.FORECAST.ETS(L3,B26:K26,B3:K3,1,0,1)</f>
        <v>11622.974624292101</v>
      </c>
      <c r="M26" s="107">
        <f>_xlfn.FORECAST.ETS(M3,B26:L26,B3:L3,1,0,1)</f>
        <v>13082.518437727436</v>
      </c>
    </row>
    <row r="27" spans="1:13">
      <c r="A27" s="47" t="s">
        <v>89</v>
      </c>
      <c r="B27" s="105">
        <v>-979</v>
      </c>
      <c r="C27" s="106">
        <v>-795</v>
      </c>
      <c r="D27" s="48">
        <v>-116</v>
      </c>
      <c r="E27" s="106">
        <v>-13972</v>
      </c>
      <c r="F27" s="107">
        <v>-2186</v>
      </c>
      <c r="G27" s="105">
        <f>_xlfn.FORECAST.ETS(G3,B27:F27,B3:F3)</f>
        <v>-14805.284546297667</v>
      </c>
      <c r="H27" s="106">
        <f>_xlfn.FORECAST.ETS(H3,B27:G27,B3:G3,1,0,1)</f>
        <v>-11692.389425082296</v>
      </c>
      <c r="I27" s="106">
        <f>_xlfn.FORECAST.ETS(I3,B27:H27,B3:H3,1,0,1)</f>
        <v>-18794.670026220643</v>
      </c>
      <c r="J27" s="106">
        <f>_xlfn.FORECAST.ETS(J3,B27:I27,B3:I3,1,0,1)</f>
        <v>-15903.645408447388</v>
      </c>
      <c r="K27" s="106">
        <f>_xlfn.FORECAST.ETS(K3,B27:J27,B3:J3,1,0,1)</f>
        <v>-24380.613312264548</v>
      </c>
      <c r="L27" s="106">
        <f>_xlfn.FORECAST.ETS(L3,B27:K27,B3:K3,1,0,1)</f>
        <v>-20136.111815930974</v>
      </c>
      <c r="M27" s="107">
        <f>_xlfn.FORECAST.ETS(M3,B27:L27,B3:L3,1,0,1)</f>
        <v>-29044.795572960109</v>
      </c>
    </row>
    <row r="28" spans="1:13">
      <c r="A28" s="47" t="s">
        <v>90</v>
      </c>
      <c r="B28" s="105">
        <v>3349</v>
      </c>
      <c r="C28" s="106">
        <v>3025</v>
      </c>
      <c r="D28" s="48">
        <v>4577</v>
      </c>
      <c r="E28" s="106">
        <v>9677</v>
      </c>
      <c r="F28" s="107">
        <v>8240</v>
      </c>
      <c r="G28" s="105">
        <f>_xlfn.FORECAST.ETS(G3,B28:F28,B3:F3)</f>
        <v>12429.810499011224</v>
      </c>
      <c r="H28" s="106">
        <f>_xlfn.FORECAST.ETS(H3,B28:G28,B3:G3,1,0,1)</f>
        <v>14150.283989290929</v>
      </c>
      <c r="I28" s="106">
        <f>_xlfn.FORECAST.ETS(I3,B28:H28,B3:H3,1,0,1)</f>
        <v>15964.447840512901</v>
      </c>
      <c r="J28" s="106">
        <f>_xlfn.FORECAST.ETS(J3,B28:I28,B3:I3,1,0,1)</f>
        <v>18123.004908120802</v>
      </c>
      <c r="K28" s="106">
        <f>_xlfn.FORECAST.ETS(K3,B28:J28,B3:J3,1,0,1)</f>
        <v>22112.859381167407</v>
      </c>
      <c r="L28" s="106">
        <f>_xlfn.FORECAST.ETS(L3,B28:K28,B3:K3,1,0,1)</f>
        <v>23009.812887493321</v>
      </c>
      <c r="M28" s="107">
        <f>_xlfn.FORECAST.ETS(M3,B28:L28,B3:L3,1,0,1)</f>
        <v>25155.342527037083</v>
      </c>
    </row>
    <row r="29" spans="1:13">
      <c r="A29" s="47" t="s">
        <v>91</v>
      </c>
      <c r="B29" s="114">
        <v>2542</v>
      </c>
      <c r="C29" s="134">
        <v>4091</v>
      </c>
      <c r="D29" s="48">
        <v>-7240</v>
      </c>
      <c r="E29" s="134">
        <v>-12731</v>
      </c>
      <c r="F29" s="135">
        <v>-7100</v>
      </c>
      <c r="G29" s="105">
        <f>_xlfn.FORECAST.ETS(G3,B29:F29,B3:F3)</f>
        <v>-14192.329655591224</v>
      </c>
      <c r="H29" s="106">
        <f>_xlfn.FORECAST.ETS(H3,B29:G29,B3:G3,1,0,1)</f>
        <v>-18771.768547869764</v>
      </c>
      <c r="I29" s="106">
        <f>_xlfn.FORECAST.ETS(I3,B29:H29,B3:H3,1,0,1)</f>
        <v>-22525.817376676299</v>
      </c>
      <c r="J29" s="106">
        <f>_xlfn.FORECAST.ETS(J3,B29:I29,B3:I3,1,0,1)</f>
        <v>-26472.342067908452</v>
      </c>
      <c r="K29" s="106">
        <f>_xlfn.FORECAST.ETS(K3,B29:J29,B3:J3,1,0,1)</f>
        <v>-30474.791929113377</v>
      </c>
      <c r="L29" s="106">
        <f>_xlfn.FORECAST.ETS(L3,B29:K29,B3:K3,1,0,1)</f>
        <v>-28322.099818962019</v>
      </c>
      <c r="M29" s="107">
        <f>_xlfn.FORECAST.ETS(M3,B29:L29,B3:L3,1,0,1)</f>
        <v>-35599.927043263058</v>
      </c>
    </row>
    <row r="30" spans="1:13">
      <c r="A30" s="68" t="s">
        <v>92</v>
      </c>
      <c r="B30" s="105">
        <v>-5065</v>
      </c>
      <c r="C30" s="106">
        <v>-6450</v>
      </c>
      <c r="D30" s="49">
        <v>-9516</v>
      </c>
      <c r="E30" s="106">
        <v>-27084</v>
      </c>
      <c r="F30" s="107">
        <v>-12369</v>
      </c>
      <c r="G30" s="111">
        <f>_xlfn.FORECAST.ETS(G3,B30:F30,B3:F3)</f>
        <v>-32270.263800565692</v>
      </c>
      <c r="H30" s="112">
        <f>_xlfn.FORECAST.ETS(H3,B30:G30,B3:G3,1,0,1)</f>
        <v>-35552.551828212279</v>
      </c>
      <c r="I30" s="112">
        <f>_xlfn.FORECAST.ETS(I3,B30:H30,B3:H3,1,0,1)</f>
        <v>-42919.237137714284</v>
      </c>
      <c r="J30" s="112">
        <f>_xlfn.FORECAST.ETS(J3,B30:I30,B3:I3,1,0,1)</f>
        <v>-47503.837515498766</v>
      </c>
      <c r="K30" s="112">
        <f>_xlfn.FORECAST.ETS(K3,B30:J30,B3:J3,1,0,1)</f>
        <v>-53511.38376588923</v>
      </c>
      <c r="L30" s="112">
        <f>_xlfn.FORECAST.ETS(L3,B30:K30,B3:K3,1,0,1)</f>
        <v>-59247.067097650754</v>
      </c>
      <c r="M30" s="113">
        <f>_xlfn.FORECAST.ETS(M3,B30:L30,B3:L3,1,0,1)</f>
        <v>-65126.321967629898</v>
      </c>
    </row>
    <row r="31" spans="1:13">
      <c r="A31" s="68" t="s">
        <v>93</v>
      </c>
      <c r="B31" s="105"/>
      <c r="C31" s="106"/>
      <c r="D31" s="106"/>
      <c r="E31" s="106"/>
      <c r="F31" s="107"/>
      <c r="G31" s="105"/>
      <c r="H31" s="106"/>
      <c r="I31" s="106"/>
      <c r="J31" s="106"/>
      <c r="K31" s="106"/>
      <c r="L31" s="106"/>
      <c r="M31" s="107"/>
    </row>
    <row r="32" spans="1:13">
      <c r="A32" t="s">
        <v>108</v>
      </c>
      <c r="B32" s="105">
        <v>6</v>
      </c>
      <c r="C32" s="106">
        <v>119</v>
      </c>
      <c r="D32" s="106"/>
      <c r="E32" s="106"/>
      <c r="F32" s="107"/>
      <c r="G32" s="88">
        <f>_xlfn.FORECAST.ETS(G3,B32:F32,B3:F3,1,0,1)</f>
        <v>-14.560832286989843</v>
      </c>
      <c r="H32" s="88">
        <f>_xlfn.FORECAST.ETS(H3,B32:G32,B3:G3,1,0,1)</f>
        <v>-51.435807307534688</v>
      </c>
      <c r="I32" s="88">
        <f>_xlfn.FORECAST.ETS(I3,B32:H32,B3:H3,1,0,1)</f>
        <v>-61.348141625674664</v>
      </c>
      <c r="J32" s="88">
        <f>_xlfn.FORECAST.ETS(J3,B32:I32,B3:I3,1,0,1)</f>
        <v>-78.95245806585568</v>
      </c>
      <c r="K32" s="88">
        <f>_xlfn.FORECAST.ETS(K3,B32:J32,B3:J3,1,0,1)</f>
        <v>-96.36932073463862</v>
      </c>
      <c r="L32" s="88">
        <f>_xlfn.FORECAST.ETS(L3,B32:K32,B3:K3,1,0,1)</f>
        <v>-113.66242259558278</v>
      </c>
      <c r="M32" s="107">
        <f>_xlfn.FORECAST.ETS(M3,B32:L32,B3:L3,1,0,1)</f>
        <v>-130.87312799893246</v>
      </c>
    </row>
    <row r="33" spans="1:14">
      <c r="A33" s="47" t="s">
        <v>94</v>
      </c>
      <c r="B33" s="105">
        <v>6359</v>
      </c>
      <c r="C33" s="106">
        <v>353</v>
      </c>
      <c r="D33" s="106">
        <v>618</v>
      </c>
      <c r="E33" s="106">
        <v>16228</v>
      </c>
      <c r="F33" s="107">
        <v>768</v>
      </c>
      <c r="G33" s="106">
        <f>_xlfn.FORECAST.ETS(G3,B33:F33,B3:F3)</f>
        <v>14017.143326916685</v>
      </c>
      <c r="H33" s="106">
        <f>_xlfn.FORECAST.ETS(H3,B33:G33,B3:G3,1,0,1)</f>
        <v>15440.023460148204</v>
      </c>
      <c r="I33" s="106">
        <f>_xlfn.FORECAST.ETS(I3,B33:H33,B3:H3,1,0,1)</f>
        <v>17220.272330826359</v>
      </c>
      <c r="J33" s="106">
        <f>_xlfn.FORECAST.ETS(J3,B33:I33,B3:I3,1,0,1)</f>
        <v>19222.228992844714</v>
      </c>
      <c r="K33" s="106">
        <f>_xlfn.FORECAST.ETS(K3,B33:J33,B3:J3,1,0,1)</f>
        <v>21306.783267646293</v>
      </c>
      <c r="L33" s="106">
        <f>_xlfn.FORECAST.ETS(L3,B33:K33,B3:K3,1,0,1)</f>
        <v>23546.931324625599</v>
      </c>
      <c r="M33" s="107">
        <f>_xlfn.FORECAST.ETS(M3,B33:L33,B3:L3,1,0,1)</f>
        <v>25778.076767569364</v>
      </c>
    </row>
    <row r="34" spans="1:14">
      <c r="A34" s="47" t="s">
        <v>95</v>
      </c>
      <c r="B34" s="105">
        <v>-513</v>
      </c>
      <c r="C34" s="106">
        <v>-1652</v>
      </c>
      <c r="D34" s="106">
        <v>-327</v>
      </c>
      <c r="E34" s="106">
        <v>-1301</v>
      </c>
      <c r="F34" s="107">
        <v>-668</v>
      </c>
      <c r="G34" s="105">
        <f>_xlfn.FORECAST.ETS(G3,B34:F34,B3:F3)</f>
        <v>-1406.4547317335382</v>
      </c>
      <c r="H34" s="106">
        <f>_xlfn.FORECAST.ETS(H3,B34:G34,B3:G3,1,0,1)</f>
        <v>-456.59605278438369</v>
      </c>
      <c r="I34" s="106">
        <f>_xlfn.FORECAST.ETS(I3,B34:H34,B3:H3,1,0,1)</f>
        <v>-1483.0573017827114</v>
      </c>
      <c r="J34" s="106">
        <f>_xlfn.FORECAST.ETS(J3,B34:I34,B3:I3,1,0,1)</f>
        <v>-451.91464302201001</v>
      </c>
      <c r="K34" s="106">
        <f>_xlfn.FORECAST.ETS(K3,B34:J34,B3:J3,1,0,1)</f>
        <v>-1419.4793169057543</v>
      </c>
      <c r="L34" s="106">
        <f>_xlfn.FORECAST.ETS(L3,B34:K34,B3:K3,1,0,1)</f>
        <v>-452.56127076344637</v>
      </c>
      <c r="M34" s="107">
        <f>_xlfn.FORECAST.ETS(M3,B34:L34,B3:L3,1,0,1)</f>
        <v>-1399.3155922533215</v>
      </c>
    </row>
    <row r="35" spans="1:14">
      <c r="A35" s="47" t="s">
        <v>96</v>
      </c>
      <c r="B35" s="105">
        <v>-1285</v>
      </c>
      <c r="C35" s="106">
        <v>-2462</v>
      </c>
      <c r="D35" s="106">
        <v>-3860</v>
      </c>
      <c r="E35" s="106">
        <v>-4799</v>
      </c>
      <c r="F35" s="107">
        <v>-7449</v>
      </c>
      <c r="G35" s="105">
        <f>_xlfn.FORECAST.ETS(G3,B35:F35,B3:F3)</f>
        <v>-8514.1309298075976</v>
      </c>
      <c r="H35" s="106">
        <f>_xlfn.FORECAST.ETS(H3,B35:G35,B3:G3,1,0,1)</f>
        <v>-10330.602536438948</v>
      </c>
      <c r="I35" s="106">
        <f>_xlfn.FORECAST.ETS(I3,B35:H35,B3:H3,1,0,1)</f>
        <v>-11710.906756420876</v>
      </c>
      <c r="J35" s="106">
        <f>_xlfn.FORECAST.ETS(J3,B35:I35,B3:I3,1,0,1)</f>
        <v>-13642.435850264694</v>
      </c>
      <c r="K35" s="106">
        <f>_xlfn.FORECAST.ETS(K3,B35:J35,B3:J3,1,0,1)</f>
        <v>-15045.073534341735</v>
      </c>
      <c r="L35" s="106">
        <f>_xlfn.FORECAST.ETS(L3,B35:K35,B3:K3,1,0,1)</f>
        <v>-16925.742582528346</v>
      </c>
      <c r="M35" s="107">
        <f>_xlfn.FORECAST.ETS(M3,B35:L35,B3:L3,1,0,1)</f>
        <v>-18009.598628852906</v>
      </c>
    </row>
    <row r="36" spans="1:14">
      <c r="A36" s="47" t="s">
        <v>97</v>
      </c>
      <c r="B36" s="105">
        <v>-135</v>
      </c>
      <c r="C36" s="106">
        <v>-121</v>
      </c>
      <c r="D36" s="106">
        <v>-147</v>
      </c>
      <c r="E36" s="106">
        <v>-200</v>
      </c>
      <c r="F36" s="107">
        <v>-337</v>
      </c>
      <c r="G36" s="105">
        <f>_xlfn.FORECAST.ETS(G3,B36:F36,B3:F3)</f>
        <v>-352.72405527482272</v>
      </c>
      <c r="H36" s="106">
        <f>_xlfn.FORECAST.ETS(H3,B36:G36,B3:G3,1,0,1)</f>
        <v>-414.13900914226599</v>
      </c>
      <c r="I36" s="106">
        <f>_xlfn.FORECAST.ETS(I3,B36:H36,B3:H3,1,0,1)</f>
        <v>-466.34797132630553</v>
      </c>
      <c r="J36" s="106">
        <f>_xlfn.FORECAST.ETS(J3,B36:I36,B3:I3,1,0,1)</f>
        <v>-520.58852634728385</v>
      </c>
      <c r="K36" s="106">
        <f>_xlfn.FORECAST.ETS(K3,B36:J36,B3:J3,1,0,1)</f>
        <v>-575.07329148530062</v>
      </c>
      <c r="L36" s="106">
        <f>_xlfn.FORECAST.ETS(L3,B36:K36,B3:K3,1,0,1)</f>
        <v>-629.69333009127524</v>
      </c>
      <c r="M36" s="107">
        <f>_xlfn.FORECAST.ETS(M3,B36:L36,B3:L3,1,0,1)</f>
        <v>-684.39043004840107</v>
      </c>
    </row>
    <row r="37" spans="1:14">
      <c r="A37" s="68" t="s">
        <v>98</v>
      </c>
      <c r="B37" s="111">
        <v>4432</v>
      </c>
      <c r="C37" s="112">
        <v>-3763</v>
      </c>
      <c r="D37" s="112">
        <v>-3716</v>
      </c>
      <c r="E37" s="112">
        <v>9928</v>
      </c>
      <c r="F37" s="113">
        <v>-7686</v>
      </c>
      <c r="G37" s="111">
        <f>_xlfn.FORECAST.ETS(G3,B37:F37,B3:F3)</f>
        <v>4161.9283293982626</v>
      </c>
      <c r="H37" s="112">
        <f>_xlfn.FORECAST.ETS(H3,B37:G37,B3:G3,1,0,1)</f>
        <v>4147.2422083075699</v>
      </c>
      <c r="I37" s="112">
        <f>_xlfn.FORECAST.ETS(I3,B37:H37,B3:H3,1,0,1)</f>
        <v>4366.013294059846</v>
      </c>
      <c r="J37" s="112">
        <f>_xlfn.FORECAST.ETS(J3,B37:I37,B3:I3,1,0,1)</f>
        <v>4878.2444128869965</v>
      </c>
      <c r="K37" s="112">
        <f>_xlfn.FORECAST.ETS(K3,B37:J37,B3:J3,1,0,1)</f>
        <v>5360.9806783238628</v>
      </c>
      <c r="L37" s="112">
        <f>_xlfn.FORECAST.ETS(L3,B37:K37,B3:K3,1,0,1)</f>
        <v>6044.7300240307868</v>
      </c>
      <c r="M37" s="113">
        <f>_xlfn.FORECAST.ETS(M3,B37:L37,B3:L3,1,0,1)</f>
        <v>6719.4914547007365</v>
      </c>
    </row>
    <row r="38" spans="1:14" ht="30">
      <c r="A38" s="47" t="s">
        <v>99</v>
      </c>
      <c r="B38" s="105">
        <v>-310</v>
      </c>
      <c r="C38" s="106">
        <v>-374</v>
      </c>
      <c r="D38" s="106">
        <v>-212</v>
      </c>
      <c r="E38" s="106">
        <v>713</v>
      </c>
      <c r="F38" s="107">
        <v>-351</v>
      </c>
      <c r="G38" s="105">
        <f>_xlfn.FORECAST.ETS(G3,B38:F38,B3:F3)</f>
        <v>763.3671983046321</v>
      </c>
      <c r="H38" s="106">
        <f>_xlfn.FORECAST.ETS(H3,B38:G38,B3:G3,1,0,1)</f>
        <v>844.43592704969819</v>
      </c>
      <c r="I38" s="106">
        <f>_xlfn.FORECAST.ETS(I3,B38:H38,B3:H3,1,0,1)</f>
        <v>1138.1373386967773</v>
      </c>
      <c r="J38" s="106">
        <f>_xlfn.FORECAST.ETS(J3,B38:I38,B3:I3,1,0,1)</f>
        <v>1314.8768168739025</v>
      </c>
      <c r="K38" s="106">
        <f>_xlfn.FORECAST.ETS(K3,B38:J38,B3:J3,1,0,1)</f>
        <v>1557.1916573494777</v>
      </c>
      <c r="L38" s="106">
        <f>_xlfn.FORECAST.ETS(L3,B38:K38,B3:K3,1,0,1)</f>
        <v>1798.9510941021499</v>
      </c>
      <c r="M38" s="107">
        <f>_xlfn.FORECAST.ETS(M3,B38:L38,B3:L3,1,0,1)</f>
        <v>2025.2773326093127</v>
      </c>
    </row>
    <row r="39" spans="1:14" ht="30">
      <c r="A39" s="47" t="s">
        <v>100</v>
      </c>
      <c r="B39" s="105">
        <v>5899</v>
      </c>
      <c r="C39" s="106">
        <v>1333</v>
      </c>
      <c r="D39" s="106">
        <v>3759</v>
      </c>
      <c r="E39" s="106">
        <v>1922</v>
      </c>
      <c r="F39" s="107">
        <v>10317</v>
      </c>
      <c r="G39" s="105">
        <f>_xlfn.FORECAST.ETS(G3,B39:F39,B3:F3)</f>
        <v>8831.9686373101013</v>
      </c>
      <c r="H39" s="106">
        <f>_xlfn.FORECAST.ETS(H3,B39:G39,B3:G3,1,0,1)</f>
        <v>14063.848129308088</v>
      </c>
      <c r="I39" s="106">
        <f>_xlfn.FORECAST.ETS(I3,B39:H39,B3:H3,1,0,1)</f>
        <v>14127.939774173936</v>
      </c>
      <c r="J39" s="106">
        <f>_xlfn.FORECAST.ETS(J3,B39:I39,B3:I3,1,0,1)</f>
        <v>20363.020019252748</v>
      </c>
      <c r="K39" s="106">
        <f>_xlfn.FORECAST.ETS(K3,B39:J39,B3:J3,1,0,1)</f>
        <v>20531.744227696156</v>
      </c>
      <c r="L39" s="106">
        <f>_xlfn.FORECAST.ETS(L3,B39:K39,B3:K3,1,0,1)</f>
        <v>26716.148070366893</v>
      </c>
      <c r="M39" s="107">
        <f>_xlfn.FORECAST.ETS(M3,B39:L39,B3:L3,1,0,1)</f>
        <v>28186.817509176337</v>
      </c>
    </row>
    <row r="40" spans="1:14" ht="15.75" thickBot="1">
      <c r="A40" s="71" t="s">
        <v>101</v>
      </c>
      <c r="B40" s="118">
        <v>14557</v>
      </c>
      <c r="C40" s="119">
        <v>15890</v>
      </c>
      <c r="D40" s="119">
        <v>19934</v>
      </c>
      <c r="E40" s="119">
        <v>21856</v>
      </c>
      <c r="F40" s="120">
        <v>32173</v>
      </c>
      <c r="G40" s="118">
        <f>_xlfn.FORECAST.ETS(G3,B40:F40,B3:F3)</f>
        <v>34212.772821430597</v>
      </c>
      <c r="H40" s="119">
        <f>_xlfn.FORECAST.ETS(H3,B40:G40,B3:G3,1,0,1)</f>
        <v>38895.497648589517</v>
      </c>
      <c r="I40" s="119">
        <f>_xlfn.FORECAST.ETS(I3,B40:H40,B3:H3,1,0,1)</f>
        <v>43144.542950883661</v>
      </c>
      <c r="J40" s="119">
        <f>_xlfn.FORECAST.ETS(J3,B40:I40,B3:I3,1,0,1)</f>
        <v>49626.89384856687</v>
      </c>
      <c r="K40" s="119">
        <f>_xlfn.FORECAST.ETS(K3,B40:J40,B3:J3,1,0,1)</f>
        <v>53271.137719782688</v>
      </c>
      <c r="L40" s="119">
        <f>_xlfn.FORECAST.ETS(L3,B40:K40,B3:K3,1,0,1)</f>
        <v>59855.977412596723</v>
      </c>
      <c r="M40" s="120">
        <f>_xlfn.FORECAST.ETS(M3,B40:L40,B3:L3,1,0,1)</f>
        <v>63638.147659837399</v>
      </c>
    </row>
    <row r="41" spans="1:14" ht="15.75" thickTop="1">
      <c r="A41" s="73" t="s">
        <v>102</v>
      </c>
      <c r="B41" s="105"/>
      <c r="C41" s="106"/>
      <c r="D41" s="106"/>
      <c r="E41" s="106"/>
      <c r="F41" s="107"/>
      <c r="G41" s="105"/>
      <c r="H41" s="106"/>
      <c r="I41" s="106"/>
      <c r="J41" s="106"/>
      <c r="K41" s="106"/>
      <c r="L41" s="106"/>
      <c r="M41" s="107"/>
    </row>
    <row r="42" spans="1:14">
      <c r="A42" s="72" t="s">
        <v>103</v>
      </c>
      <c r="B42" s="105"/>
      <c r="C42" s="106">
        <v>325</v>
      </c>
      <c r="D42" s="106">
        <v>290</v>
      </c>
      <c r="E42" s="106">
        <v>328</v>
      </c>
      <c r="F42" s="107">
        <v>854</v>
      </c>
      <c r="G42" s="105">
        <f>_xlfn.FORECAST.ETS(G3,B42:F42,B3:F3)</f>
        <v>927.80971154099996</v>
      </c>
      <c r="H42" s="106">
        <f>_xlfn.FORECAST.ETS(H3,B42:G42,B3:G3,1,0,1)</f>
        <v>1069.7913861878676</v>
      </c>
      <c r="I42" s="106">
        <f>_xlfn.FORECAST.ETS(I3,B42:H42,B3:H3,1,0,1)</f>
        <v>1245.1043214021799</v>
      </c>
      <c r="J42" s="106">
        <f>_xlfn.FORECAST.ETS(J3,B42:I42,B3:I3,1,0,1)</f>
        <v>1417.5696113763534</v>
      </c>
      <c r="K42" s="106">
        <f>_xlfn.FORECAST.ETS(K3,B42:J42,B3:J3,1,0,1)</f>
        <v>1589.207272975234</v>
      </c>
      <c r="L42" s="106">
        <f>_xlfn.FORECAST.ETS(L3,B42:K42,B3:K3,1,0,1)</f>
        <v>1760.0835474531668</v>
      </c>
      <c r="M42" s="107">
        <f>_xlfn.FORECAST.ETS(M3,B42:L42,B3:L3,1,0,1)</f>
        <v>1930.2604583991231</v>
      </c>
      <c r="N42" s="2"/>
    </row>
    <row r="43" spans="1:14">
      <c r="A43" s="72" t="s">
        <v>104</v>
      </c>
      <c r="B43" s="105"/>
      <c r="C43" s="106">
        <v>153</v>
      </c>
      <c r="D43" s="106">
        <v>206</v>
      </c>
      <c r="E43" s="106">
        <v>319</v>
      </c>
      <c r="F43" s="107">
        <v>575</v>
      </c>
      <c r="G43" s="105">
        <f>_xlfn.FORECAST.ETS(G3,B43:F43,B3:F3)</f>
        <v>684.5416852415359</v>
      </c>
      <c r="H43" s="106">
        <f>_xlfn.FORECAST.ETS(H3,B43:G43,B3:G3,1,0,1)</f>
        <v>823.60384682615904</v>
      </c>
      <c r="I43" s="106">
        <f>_xlfn.FORECAST.ETS(I3,B43:H43,B3:H3,1,0,1)</f>
        <v>963.07590115271364</v>
      </c>
      <c r="J43" s="106">
        <f>_xlfn.FORECAST.ETS(J3,B43:I43,B3:I3,1,0,1)</f>
        <v>1105.4796670124892</v>
      </c>
      <c r="K43" s="106">
        <f>_xlfn.FORECAST.ETS(K3,B43:J43,B3:J3,1,0,1)</f>
        <v>1248.7954076158958</v>
      </c>
      <c r="L43" s="106">
        <f>_xlfn.FORECAST.ETS(L3,B43:K43,B3:K3,1,0,1)</f>
        <v>1387.9564892772964</v>
      </c>
      <c r="M43" s="107">
        <f>_xlfn.FORECAST.ETS(M3,B43:L43,B3:L3,1,0,1)</f>
        <v>1529.6644126116826</v>
      </c>
      <c r="N43" s="2"/>
    </row>
    <row r="44" spans="1:14">
      <c r="A44" s="74" t="s">
        <v>105</v>
      </c>
      <c r="B44" s="106"/>
      <c r="C44" s="106">
        <v>273</v>
      </c>
      <c r="D44" s="106">
        <v>412</v>
      </c>
      <c r="E44" s="106">
        <v>957</v>
      </c>
      <c r="F44" s="107">
        <v>1184</v>
      </c>
      <c r="G44" s="105">
        <f>_xlfn.FORECAST.ETS(G3,B44:F44,B3:F3)</f>
        <v>1520.4448425163571</v>
      </c>
      <c r="H44" s="106">
        <f>_xlfn.FORECAST.ETS(H3,B44:G44,B3:G3,1,0,1)</f>
        <v>1841.8548128141515</v>
      </c>
      <c r="I44" s="106">
        <f>_xlfn.FORECAST.ETS(I3,B44:H44,B3:H3,1,0,1)</f>
        <v>2162.122061595212</v>
      </c>
      <c r="J44" s="106">
        <f>_xlfn.FORECAST.ETS(J3,B44:I44,B3:I3,1,0,1)</f>
        <v>2473.0672724467618</v>
      </c>
      <c r="K44" s="106">
        <f>_xlfn.FORECAST.ETS(K3,B44:J44,B3:J3,1,0,1)</f>
        <v>2790.6388164577947</v>
      </c>
      <c r="L44" s="106">
        <f>_xlfn.FORECAST.ETS(L3,B44:K44,B3:K3,1,0,1)</f>
        <v>3108.0388905291802</v>
      </c>
      <c r="M44" s="107">
        <f>_xlfn.FORECAST.ETS(M3,B44:L44,B3:L3,1,0,1)</f>
        <v>3425.3259761342879</v>
      </c>
      <c r="N44" s="2"/>
    </row>
    <row r="45" spans="1:14">
      <c r="A45" s="74" t="s">
        <v>106</v>
      </c>
      <c r="B45" s="106"/>
      <c r="C45" s="106">
        <v>4717</v>
      </c>
      <c r="D45" s="106">
        <v>5704</v>
      </c>
      <c r="E45" s="106">
        <v>9637</v>
      </c>
      <c r="F45" s="107">
        <v>10615</v>
      </c>
      <c r="G45" s="106">
        <f>_xlfn.FORECAST.ETS(G3,B45:F45,B3:F3)</f>
        <v>13278.075870900884</v>
      </c>
      <c r="H45" s="106">
        <f>_xlfn.FORECAST.ETS(H3,B45:G45,B3:G3,1,0,1)</f>
        <v>14297.78003163464</v>
      </c>
      <c r="I45" s="106">
        <f>_xlfn.FORECAST.ETS(I3,B45:H45,B3:H3,1,0,1)</f>
        <v>17256.085802774876</v>
      </c>
      <c r="J45" s="106">
        <f>_xlfn.FORECAST.ETS(J3,B45:I45,B3:I3,1,0,1)</f>
        <v>18538.719262917391</v>
      </c>
      <c r="K45" s="106">
        <f>_xlfn.FORECAST.ETS(K3,B45:J45,B3:J3,1,0,1)</f>
        <v>21163.045751553662</v>
      </c>
      <c r="L45" s="106">
        <f>_xlfn.FORECAST.ETS(L3,B45:K45,B3:K3,1,0,1)</f>
        <v>22622.329550082122</v>
      </c>
      <c r="M45" s="107">
        <f>_xlfn.FORECAST.ETS(M3,B45:L45,B3:L3,1,0,1)</f>
        <v>25460.497662382761</v>
      </c>
      <c r="N45" s="2"/>
    </row>
    <row r="46" spans="1:14">
      <c r="A46" s="75" t="s">
        <v>107</v>
      </c>
      <c r="B46" s="134"/>
      <c r="C46" s="134">
        <v>544</v>
      </c>
      <c r="D46" s="134">
        <v>3641</v>
      </c>
      <c r="E46" s="134">
        <v>3541</v>
      </c>
      <c r="F46" s="135">
        <v>1209</v>
      </c>
      <c r="G46" s="134">
        <f>_xlfn.FORECAST.ETS(G3,B46:F46,B3:F3)</f>
        <v>1979.8392572510002</v>
      </c>
      <c r="H46" s="134">
        <f>_xlfn.FORECAST.ETS(H3,B46:G46,B3:G3,1,0,1)</f>
        <v>2441.6533058451691</v>
      </c>
      <c r="I46" s="134">
        <f>_xlfn.FORECAST.ETS(I3,B46:H46,B3:H3,1,0,1)</f>
        <v>2818.178789599262</v>
      </c>
      <c r="J46" s="134">
        <f>_xlfn.FORECAST.ETS(J3,B46:I46,B3:I3,1,0,1)</f>
        <v>3039.8484704324287</v>
      </c>
      <c r="K46" s="134">
        <f>_xlfn.FORECAST.ETS(K3,B46:J46,B3:J3,1,0,1)</f>
        <v>3280.9258222412645</v>
      </c>
      <c r="L46" s="134">
        <f>_xlfn.FORECAST.ETS(L3,B46:K46,B3:K3,1,0,1)</f>
        <v>3521.9364852265617</v>
      </c>
      <c r="M46" s="135">
        <f>_xlfn.FORECAST.ETS(M3,B46:L46,B3:L3,1,0,1)</f>
        <v>3762.1246344007632</v>
      </c>
      <c r="N46" s="2"/>
    </row>
    <row r="47" spans="1:14">
      <c r="A47" s="7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>
      <c r="A48" s="6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7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7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7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2">
    <mergeCell ref="B2:F2"/>
    <mergeCell ref="G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OF CONTENT</vt:lpstr>
      <vt:lpstr>Ratio analysis</vt:lpstr>
      <vt:lpstr>Income statement</vt:lpstr>
      <vt:lpstr>SOFP</vt:lpstr>
      <vt:lpstr>Cashflow </vt:lpstr>
      <vt:lpstr>hyperlink</vt:lpstr>
      <vt:lpstr>VLOOK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tunde</dc:creator>
  <cp:lastModifiedBy>tunde</cp:lastModifiedBy>
  <dcterms:created xsi:type="dcterms:W3CDTF">2019-05-28T16:53:03Z</dcterms:created>
  <dcterms:modified xsi:type="dcterms:W3CDTF">2019-06-08T07:28:19Z</dcterms:modified>
</cp:coreProperties>
</file>