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887" activeTab="2"/>
  </bookViews>
  <sheets>
    <sheet name="Summary" sheetId="1" r:id="rId1"/>
    <sheet name="Pivot Sum" sheetId="5" r:id="rId2"/>
    <sheet name="Takeoff" sheetId="2" r:id="rId3"/>
    <sheet name="Data" sheetId="3" r:id="rId4"/>
  </sheets>
  <definedNames>
    <definedName name="SCHEDULE">Takeoff!$B$6:$P$798</definedName>
    <definedName name="Data">Data!$A$3:$D$656</definedName>
    <definedName name="_xlnm.Print_Area" localSheetId="0">Summary!$A$1:$J$107</definedName>
    <definedName name="_xlnm.Print_Area" localSheetId="2">Takeoff!$A$1:$Q$787</definedName>
    <definedName name="Takeoff">Takeoff!$B$7:$I$798</definedName>
  </definedNames>
  <calcPr calcId="144525"/>
  <pivotCaches>
    <pivotCache cacheId="0" r:id="rId5"/>
  </pivotCaches>
</workbook>
</file>

<file path=xl/comments1.xml><?xml version="1.0" encoding="utf-8"?>
<comments xmlns="http://schemas.openxmlformats.org/spreadsheetml/2006/main">
  <authors>
    <author>Andrew Hills</author>
  </authors>
  <commentList>
    <comment ref="J48" authorId="0">
      <text>
        <r>
          <rPr>
            <b/>
            <sz val="9"/>
            <rFont val="Tahoma"/>
            <charset val="134"/>
          </rPr>
          <t>Andrew Hills:</t>
        </r>
        <r>
          <rPr>
            <sz val="9"/>
            <rFont val="Tahoma"/>
            <charset val="134"/>
          </rPr>
          <t xml:space="preserve">
The default  is 200/hr per Tonne
But can be modified by the users anytime using this cell</t>
        </r>
      </text>
    </comment>
  </commentList>
</comments>
</file>

<file path=xl/sharedStrings.xml><?xml version="1.0" encoding="utf-8"?>
<sst xmlns="http://schemas.openxmlformats.org/spreadsheetml/2006/main" count="780">
  <si>
    <t xml:space="preserve">PROJECT: </t>
  </si>
  <si>
    <t>CA BROWN</t>
  </si>
  <si>
    <t>TAKE OFF BY:</t>
  </si>
  <si>
    <t>ROLANDO</t>
  </si>
  <si>
    <t>ESTIMATOR:</t>
  </si>
  <si>
    <t>HAYDEN F.</t>
  </si>
  <si>
    <t>QUOTE REF:</t>
  </si>
  <si>
    <t>#</t>
  </si>
  <si>
    <t>OTHER:</t>
  </si>
  <si>
    <t>SUMMARY SHEET</t>
  </si>
  <si>
    <t>Yellow = manual Input by Estimator</t>
  </si>
  <si>
    <t>Cost Code</t>
  </si>
  <si>
    <t>Description</t>
  </si>
  <si>
    <t>Unit</t>
  </si>
  <si>
    <t>Quantity</t>
  </si>
  <si>
    <t>Unit rate</t>
  </si>
  <si>
    <t>Amount</t>
  </si>
  <si>
    <t>Remark</t>
  </si>
  <si>
    <t>Material</t>
  </si>
  <si>
    <t>Labour</t>
  </si>
  <si>
    <t>Total</t>
  </si>
  <si>
    <t>DRAWINGS</t>
  </si>
  <si>
    <t>SHOP DETAILING</t>
  </si>
  <si>
    <t>ton</t>
  </si>
  <si>
    <t>SURVEYING</t>
  </si>
  <si>
    <t>hr</t>
  </si>
  <si>
    <t>-</t>
  </si>
  <si>
    <t>RAW MATERIALS-HOT ROLLED (INCL WASTE)</t>
  </si>
  <si>
    <t>Waste</t>
  </si>
  <si>
    <t>STRUCTURAL (S)</t>
  </si>
  <si>
    <t>WB (WB)</t>
  </si>
  <si>
    <t>TUBE (T)</t>
  </si>
  <si>
    <t>DURAGAL (DG)</t>
  </si>
  <si>
    <t>TUBE 250PLUS (T250P)</t>
  </si>
  <si>
    <t>TUBE 7MM PLUS (T7P)</t>
  </si>
  <si>
    <t>PLATES</t>
  </si>
  <si>
    <t>RAW MATERIALS-COLD ROLLED (Z / C)</t>
  </si>
  <si>
    <t>C/Z10012</t>
  </si>
  <si>
    <t>m</t>
  </si>
  <si>
    <t>C/Z10015</t>
  </si>
  <si>
    <t>C/Z10019</t>
  </si>
  <si>
    <t>C/Z15012</t>
  </si>
  <si>
    <t>C/Z15015</t>
  </si>
  <si>
    <t>C/Z15019</t>
  </si>
  <si>
    <t>C/Z15024</t>
  </si>
  <si>
    <t>C/Z20015</t>
  </si>
  <si>
    <t>C/Z20019</t>
  </si>
  <si>
    <t>C/Z20024</t>
  </si>
  <si>
    <t>C/Z25019</t>
  </si>
  <si>
    <t>C/Z25024</t>
  </si>
  <si>
    <t>C/Z30024</t>
  </si>
  <si>
    <t>C/Z30030</t>
  </si>
  <si>
    <t>FASCIAS</t>
  </si>
  <si>
    <t>BRIDGING</t>
  </si>
  <si>
    <t>RAW MATERIALS-OTHER</t>
  </si>
  <si>
    <t>STRUCTURAL BOLTS</t>
  </si>
  <si>
    <t>CHEMSETS</t>
  </si>
  <si>
    <t>ea</t>
  </si>
  <si>
    <t>WEBFORGE HDG</t>
  </si>
  <si>
    <t>m2</t>
  </si>
  <si>
    <t>TREAD PLATE 6-8mm</t>
  </si>
  <si>
    <t>SHEAR STUDS</t>
  </si>
  <si>
    <t>BEARING PADS</t>
  </si>
  <si>
    <t>MANUFACTURE</t>
  </si>
  <si>
    <t>HRS PER TON</t>
  </si>
  <si>
    <t>PROCESSING (SIMPLE)</t>
  </si>
  <si>
    <t>PROCESSING (STANDARD)</t>
  </si>
  <si>
    <t>PROCESSING (HIGH)</t>
  </si>
  <si>
    <t>SHOP FABRICATION (SIMPLE)</t>
  </si>
  <si>
    <t>Hr</t>
  </si>
  <si>
    <t>SHOP FABRICATION (STANDARD)</t>
  </si>
  <si>
    <t>SHOP FABRICATION (HIGH 1)</t>
  </si>
  <si>
    <t>SHOP FABRICATION (HIGH 2)</t>
  </si>
  <si>
    <t>SHOP FABRICATION (HIGH 3)</t>
  </si>
  <si>
    <t>TRUSS LABOUR</t>
  </si>
  <si>
    <t>sum</t>
  </si>
  <si>
    <t>ROLLING</t>
  </si>
  <si>
    <t>SURFACE TREATMENT</t>
  </si>
  <si>
    <t>GALVANIZING</t>
  </si>
  <si>
    <t>BLASTING LABOUR</t>
  </si>
  <si>
    <t>PAINT MATERIAL - INORGANIC ZINC</t>
  </si>
  <si>
    <t>PAINT MATERIAL - INTERNATIONAL 99</t>
  </si>
  <si>
    <t>PAINT  -  1 COAT</t>
  </si>
  <si>
    <t>PAINT  -  2 COAT</t>
  </si>
  <si>
    <t>PAINT  -  3 COAT</t>
  </si>
  <si>
    <t>POWDER COAT - C/Z PURLIN</t>
  </si>
  <si>
    <t>PAINT TOUCHUP</t>
  </si>
  <si>
    <t>DELIVERY</t>
  </si>
  <si>
    <t>HAULAGE/FREIGHT</t>
  </si>
  <si>
    <t>$1500/15t=100</t>
  </si>
  <si>
    <t>COURIERS</t>
  </si>
  <si>
    <t>OSOM ALLOWANCE (3.5-4.5)</t>
  </si>
  <si>
    <t>load</t>
  </si>
  <si>
    <t>OSOM ALLOWANCE (OVER 4.5)</t>
  </si>
  <si>
    <t>INSTALLATION</t>
  </si>
  <si>
    <t>INSTALL HOLD DOWN BOLTS/ANCHORS (3 MEN)</t>
  </si>
  <si>
    <t>day</t>
  </si>
  <si>
    <t>3 men x 10hr</t>
  </si>
  <si>
    <t>ERECTION SIMPLE</t>
  </si>
  <si>
    <t>ERECTION STANDARD (3 MEN)</t>
  </si>
  <si>
    <t>ERECTION HIGH</t>
  </si>
  <si>
    <t>INSTALL PURLINS</t>
  </si>
  <si>
    <t>Refer Cost Code 3</t>
  </si>
  <si>
    <t>CRANE HIRE (3T DRY HIRE)</t>
  </si>
  <si>
    <t>5 days</t>
  </si>
  <si>
    <t>CRANE HIRE (12-30T WET HIRE)</t>
  </si>
  <si>
    <t>10hr Day</t>
  </si>
  <si>
    <t>CRANE HIRE (40-60T WET HIRE)</t>
  </si>
  <si>
    <t>CRANE HIRE (80-90T WET HIRE)</t>
  </si>
  <si>
    <t>CRANE HIRE (100T WET HIRE)</t>
  </si>
  <si>
    <t>CRANE HIRE (130T WET HIRE)</t>
  </si>
  <si>
    <t>CRANE HIRE (200T WET HIRE)</t>
  </si>
  <si>
    <t>CRANE HIRE (250T WET HIRE)</t>
  </si>
  <si>
    <t>ELECTRIC SCISSOR LIFT HIRE</t>
  </si>
  <si>
    <t>Weekly Rate</t>
  </si>
  <si>
    <t>BOOMLIFT LIFT HIRE (34FT)</t>
  </si>
  <si>
    <t>BOOMLIFT LIFT HIRE (45-51FT)</t>
  </si>
  <si>
    <t>BOOMLIFT LIFT HIRE (60-86FT)</t>
  </si>
  <si>
    <t>BOOMLIFT LIFT HIRE (135FT)</t>
  </si>
  <si>
    <t>COMPLETION/GROUT</t>
  </si>
  <si>
    <t>SITE LABOUR - WELDING (1 MAN)</t>
  </si>
  <si>
    <t>1 men x 10hr</t>
  </si>
  <si>
    <t>ACCOMMODATION</t>
  </si>
  <si>
    <t>SUBTOTAL</t>
  </si>
  <si>
    <t>PROJECT MANAGEMENT</t>
  </si>
  <si>
    <t>%</t>
  </si>
  <si>
    <t>OTHER</t>
  </si>
  <si>
    <t>TOTAL COST</t>
  </si>
  <si>
    <t>MARKUP / PROFIT</t>
  </si>
  <si>
    <t>TOTAL REV EXCLUDING GST</t>
  </si>
  <si>
    <t>TONNE RATE CROSS CHECK</t>
  </si>
  <si>
    <t>GROSS PROFIT CHECK</t>
  </si>
  <si>
    <t>WEIGHT SUMMARY</t>
  </si>
  <si>
    <t>Row Labels</t>
  </si>
  <si>
    <t>Sum of Total weight</t>
  </si>
  <si>
    <t>DG</t>
  </si>
  <si>
    <t>Not in data</t>
  </si>
  <si>
    <t>S</t>
  </si>
  <si>
    <t>T</t>
  </si>
  <si>
    <t>T250P</t>
  </si>
  <si>
    <t>T7P</t>
  </si>
  <si>
    <t>WB</t>
  </si>
  <si>
    <t>(blank)</t>
  </si>
  <si>
    <t>Plate/waste</t>
  </si>
  <si>
    <t>Grand Total</t>
  </si>
  <si>
    <t>SURFACE FINISH</t>
  </si>
  <si>
    <t>Sum of Total area</t>
  </si>
  <si>
    <t>Sum of Total weight
(Ton)</t>
  </si>
  <si>
    <t>Galv.</t>
  </si>
  <si>
    <t>INORGANIC ZINC</t>
  </si>
  <si>
    <t>INTERNATIONAL 99</t>
  </si>
  <si>
    <t>Powder Coat</t>
  </si>
  <si>
    <t>1 COAT</t>
  </si>
  <si>
    <t>2 COAT</t>
  </si>
  <si>
    <t>3 COAT</t>
  </si>
  <si>
    <t>ERECTION</t>
  </si>
  <si>
    <t>High</t>
  </si>
  <si>
    <t>Simple</t>
  </si>
  <si>
    <t>Standard</t>
  </si>
  <si>
    <t>PROCESSING</t>
  </si>
  <si>
    <t>FABRICATION</t>
  </si>
  <si>
    <t>High1</t>
  </si>
  <si>
    <t>High2</t>
  </si>
  <si>
    <t>High3</t>
  </si>
  <si>
    <t>MEMBER SCHEDULE</t>
  </si>
  <si>
    <t>PLAN ID</t>
  </si>
  <si>
    <t>Member</t>
  </si>
  <si>
    <t>Size</t>
  </si>
  <si>
    <t>Material 
type</t>
  </si>
  <si>
    <t>Finish</t>
  </si>
  <si>
    <t>Element</t>
  </si>
  <si>
    <t>Count</t>
  </si>
  <si>
    <t>Length 
(m)</t>
  </si>
  <si>
    <t>Total length
(m)</t>
  </si>
  <si>
    <t>Weight/m</t>
  </si>
  <si>
    <t>Area/m</t>
  </si>
  <si>
    <t>Total weight
(Ton)</t>
  </si>
  <si>
    <t>Total area
(m2)</t>
  </si>
  <si>
    <t>Erection</t>
  </si>
  <si>
    <t>Processing</t>
  </si>
  <si>
    <t>Fabrication</t>
  </si>
  <si>
    <t>ROOF-NORTH EAST WING</t>
  </si>
  <si>
    <t>SECTION A</t>
  </si>
  <si>
    <t>2218839-S054</t>
  </si>
  <si>
    <t>C1</t>
  </si>
  <si>
    <t>90x90x4 SHS</t>
  </si>
  <si>
    <t>2218839-S052</t>
  </si>
  <si>
    <t>WP1</t>
  </si>
  <si>
    <t>JR1</t>
  </si>
  <si>
    <t>200 PFC</t>
  </si>
  <si>
    <t>SECTION G</t>
  </si>
  <si>
    <t>WH1</t>
  </si>
  <si>
    <t>89x89x6 SHS</t>
  </si>
  <si>
    <t>WB2</t>
  </si>
  <si>
    <t>150x150x4 SHS</t>
  </si>
  <si>
    <t>WB1</t>
  </si>
  <si>
    <t>FB1</t>
  </si>
  <si>
    <t>FB</t>
  </si>
  <si>
    <t>75x75x8 EA</t>
  </si>
  <si>
    <t>BR1</t>
  </si>
  <si>
    <t>101.6x6.4 CHS</t>
  </si>
  <si>
    <t>BR2</t>
  </si>
  <si>
    <t>168.3x4.8 CHS</t>
  </si>
  <si>
    <t>B2</t>
  </si>
  <si>
    <t>310UB32</t>
  </si>
  <si>
    <t>R4</t>
  </si>
  <si>
    <t>BR3</t>
  </si>
  <si>
    <t>65x65x5 EA</t>
  </si>
  <si>
    <t>R3</t>
  </si>
  <si>
    <t>200UB25.7</t>
  </si>
  <si>
    <t>JP</t>
  </si>
  <si>
    <t>150x90x8 UA</t>
  </si>
  <si>
    <t>B4</t>
  </si>
  <si>
    <t>410UB53.7</t>
  </si>
  <si>
    <t>L3</t>
  </si>
  <si>
    <t>L2</t>
  </si>
  <si>
    <t>R2</t>
  </si>
  <si>
    <t>250UB31.4</t>
  </si>
  <si>
    <t>P3</t>
  </si>
  <si>
    <t>200C19</t>
  </si>
  <si>
    <t>P2</t>
  </si>
  <si>
    <t>P1</t>
  </si>
  <si>
    <t>150C15</t>
  </si>
  <si>
    <t>SECTION F</t>
  </si>
  <si>
    <t>C2</t>
  </si>
  <si>
    <t>150x150x6 SHS</t>
  </si>
  <si>
    <t>C3</t>
  </si>
  <si>
    <t>R11</t>
  </si>
  <si>
    <t>460UB67.1</t>
  </si>
  <si>
    <t>JR2</t>
  </si>
  <si>
    <t>200UC46.2</t>
  </si>
  <si>
    <t>SECTION M</t>
  </si>
  <si>
    <t>2218839-S055</t>
  </si>
  <si>
    <t>R5</t>
  </si>
  <si>
    <t>250 PFC</t>
  </si>
  <si>
    <t>250UB25.7</t>
  </si>
  <si>
    <t>BR4</t>
  </si>
  <si>
    <t>SECTION Q</t>
  </si>
  <si>
    <t>WH2</t>
  </si>
  <si>
    <t>R1</t>
  </si>
  <si>
    <t>360UB44.7</t>
  </si>
  <si>
    <t>ROOF PARAPET-NORTH EAST WING</t>
  </si>
  <si>
    <t>PH1</t>
  </si>
  <si>
    <t>125x125x6 SHS</t>
  </si>
  <si>
    <t>STUBS</t>
  </si>
  <si>
    <t>ROOF LEVEL 01</t>
  </si>
  <si>
    <t>OR1</t>
  </si>
  <si>
    <t>200UB25.4</t>
  </si>
  <si>
    <t>BR6</t>
  </si>
  <si>
    <t>150x150x5 SHS</t>
  </si>
  <si>
    <t>2218839-S050</t>
  </si>
  <si>
    <t>FB2</t>
  </si>
  <si>
    <t>B9</t>
  </si>
  <si>
    <t>380 PFC</t>
  </si>
  <si>
    <t>B10</t>
  </si>
  <si>
    <t>R9</t>
  </si>
  <si>
    <t>L1</t>
  </si>
  <si>
    <t>B6</t>
  </si>
  <si>
    <t>C5</t>
  </si>
  <si>
    <t>152.4x4 CHS</t>
  </si>
  <si>
    <t>R7</t>
  </si>
  <si>
    <t>250x150x6.0 RHS</t>
  </si>
  <si>
    <t>R10</t>
  </si>
  <si>
    <t>250 UB 37</t>
  </si>
  <si>
    <t>T1</t>
  </si>
  <si>
    <t>89x89x5 SHS</t>
  </si>
  <si>
    <t>75x75x5 SHS</t>
  </si>
  <si>
    <t>WH3</t>
  </si>
  <si>
    <t>200x150x6 RHS</t>
  </si>
  <si>
    <t>R8</t>
  </si>
  <si>
    <t>610UB101</t>
  </si>
  <si>
    <t>B7</t>
  </si>
  <si>
    <t>PH2</t>
  </si>
  <si>
    <t>B5</t>
  </si>
  <si>
    <t>BR7</t>
  </si>
  <si>
    <t>P5</t>
  </si>
  <si>
    <t>C10019</t>
  </si>
  <si>
    <t>125x125x6.0 SHS</t>
  </si>
  <si>
    <t>R6</t>
  </si>
  <si>
    <t>300 PFC</t>
  </si>
  <si>
    <t>ROOF LEVEL CENTRAL SOUTH WING</t>
  </si>
  <si>
    <t>2218839-S051</t>
  </si>
  <si>
    <t>89x89x6.0 SHS</t>
  </si>
  <si>
    <t>Not in weight table</t>
  </si>
  <si>
    <t>ROOF LEVEL CENTRAL SOUTHEAST WING</t>
  </si>
  <si>
    <t>2218839-S053</t>
  </si>
  <si>
    <t>DON’T DELETE THIS ROW</t>
  </si>
  <si>
    <t>DON’T DELETE THESE ROWS</t>
  </si>
  <si>
    <t>Weight/M</t>
  </si>
  <si>
    <t>Area/M</t>
  </si>
  <si>
    <t>Material type</t>
  </si>
  <si>
    <t>Structural Members</t>
  </si>
  <si>
    <t>150UB14</t>
  </si>
  <si>
    <t>150UB18</t>
  </si>
  <si>
    <t>180UB18</t>
  </si>
  <si>
    <t>180UB22</t>
  </si>
  <si>
    <t>200UB18.2</t>
  </si>
  <si>
    <t>200UB18.1</t>
  </si>
  <si>
    <t>200UB22</t>
  </si>
  <si>
    <t>200UB22.3</t>
  </si>
  <si>
    <t>200UB25</t>
  </si>
  <si>
    <t>200UB25.5</t>
  </si>
  <si>
    <t>200UB29.8</t>
  </si>
  <si>
    <t>200UB30</t>
  </si>
  <si>
    <t>250UB25</t>
  </si>
  <si>
    <t>250UB32</t>
  </si>
  <si>
    <t>250UB37</t>
  </si>
  <si>
    <t>250UB37.3</t>
  </si>
  <si>
    <t>250UB37.5</t>
  </si>
  <si>
    <t>310UB40.4</t>
  </si>
  <si>
    <t>310UB40</t>
  </si>
  <si>
    <t>310UB46</t>
  </si>
  <si>
    <t>310UB46.2</t>
  </si>
  <si>
    <t>360UB44</t>
  </si>
  <si>
    <t>360UB45</t>
  </si>
  <si>
    <t>360UB50</t>
  </si>
  <si>
    <t>360UB50.7</t>
  </si>
  <si>
    <t>360UB51</t>
  </si>
  <si>
    <t>360UB57</t>
  </si>
  <si>
    <t>360UB56.7</t>
  </si>
  <si>
    <t>410UB53</t>
  </si>
  <si>
    <t>410UB54</t>
  </si>
  <si>
    <t>410UB59.7</t>
  </si>
  <si>
    <t>410UB60</t>
  </si>
  <si>
    <t>460UB67</t>
  </si>
  <si>
    <t>460UB74.6</t>
  </si>
  <si>
    <t>460UB75</t>
  </si>
  <si>
    <t>460UB82</t>
  </si>
  <si>
    <t>530UB82.0</t>
  </si>
  <si>
    <t>530UB92.4</t>
  </si>
  <si>
    <t>530UB92</t>
  </si>
  <si>
    <t>610UB113</t>
  </si>
  <si>
    <t>610 UB 125</t>
  </si>
  <si>
    <t>100 UC 14</t>
  </si>
  <si>
    <t>100UC14.8</t>
  </si>
  <si>
    <t>150UC23</t>
  </si>
  <si>
    <t>150UC23.4</t>
  </si>
  <si>
    <t>150UC30</t>
  </si>
  <si>
    <t>150UC37</t>
  </si>
  <si>
    <t>150UC37.2</t>
  </si>
  <si>
    <t>200UC46</t>
  </si>
  <si>
    <t>200UC52</t>
  </si>
  <si>
    <t>200UC52.2</t>
  </si>
  <si>
    <t>200 UC 59</t>
  </si>
  <si>
    <t>200UC60</t>
  </si>
  <si>
    <t>250 UC 73</t>
  </si>
  <si>
    <t>250UC72</t>
  </si>
  <si>
    <t>250 UC 90</t>
  </si>
  <si>
    <t>250UC89.5</t>
  </si>
  <si>
    <t>310 UC 96</t>
  </si>
  <si>
    <t>310UC96.8</t>
  </si>
  <si>
    <t>310UC97</t>
  </si>
  <si>
    <t>310UC118</t>
  </si>
  <si>
    <t>310UC137</t>
  </si>
  <si>
    <t>310UC158</t>
  </si>
  <si>
    <t>350WC197</t>
  </si>
  <si>
    <t>350WC230</t>
  </si>
  <si>
    <t>350WC258</t>
  </si>
  <si>
    <t>350WC280</t>
  </si>
  <si>
    <t>400WC144</t>
  </si>
  <si>
    <t>400WC181</t>
  </si>
  <si>
    <t>400WC212</t>
  </si>
  <si>
    <t>400WC270</t>
  </si>
  <si>
    <t>400WC303</t>
  </si>
  <si>
    <t>400WC361</t>
  </si>
  <si>
    <t>400WC328</t>
  </si>
  <si>
    <t>500WC383</t>
  </si>
  <si>
    <t>500WC440</t>
  </si>
  <si>
    <t>500WC414</t>
  </si>
  <si>
    <t>500WC228</t>
  </si>
  <si>
    <t>500WC267</t>
  </si>
  <si>
    <t>500WC290</t>
  </si>
  <si>
    <t>500WC340</t>
  </si>
  <si>
    <t>700WB115</t>
  </si>
  <si>
    <t>700WB130</t>
  </si>
  <si>
    <t>700WB150</t>
  </si>
  <si>
    <t>700WB173</t>
  </si>
  <si>
    <t>800WB122</t>
  </si>
  <si>
    <t>800WB146</t>
  </si>
  <si>
    <t>800WB168</t>
  </si>
  <si>
    <t>800WB192</t>
  </si>
  <si>
    <t>900WB175</t>
  </si>
  <si>
    <t>900WB218</t>
  </si>
  <si>
    <t>900WB257</t>
  </si>
  <si>
    <t>900WB282</t>
  </si>
  <si>
    <t>1000WB215</t>
  </si>
  <si>
    <t>1000WB258</t>
  </si>
  <si>
    <t>1000WB296</t>
  </si>
  <si>
    <t>1000WB322</t>
  </si>
  <si>
    <t>1200WB278</t>
  </si>
  <si>
    <t>1200WB249</t>
  </si>
  <si>
    <t>1200WB317</t>
  </si>
  <si>
    <t>1200WB392</t>
  </si>
  <si>
    <t>1200WB342</t>
  </si>
  <si>
    <t>1200WB423</t>
  </si>
  <si>
    <t>1200WB455</t>
  </si>
  <si>
    <t>20x20x1.6  SHS</t>
  </si>
  <si>
    <t>25x25x1.6  SHS</t>
  </si>
  <si>
    <t>25x25x2.0  SHS</t>
  </si>
  <si>
    <t>25x25x2.5  SHS</t>
  </si>
  <si>
    <t>25x25x3.0  SHS</t>
  </si>
  <si>
    <t>30x30x1.6  SHS</t>
  </si>
  <si>
    <t>30x30x2.0  SHS</t>
  </si>
  <si>
    <t>30x30x2.5  SHS</t>
  </si>
  <si>
    <t>30x30x3.0  SHS</t>
  </si>
  <si>
    <t>35x35x1.6  SHS</t>
  </si>
  <si>
    <t>35x35x2.0  SHS</t>
  </si>
  <si>
    <t>35x35x2.5  SHS</t>
  </si>
  <si>
    <t>35x35x3.0  SHS</t>
  </si>
  <si>
    <t>40x40x1.6  SHS</t>
  </si>
  <si>
    <t>40x40x2.0  SHS</t>
  </si>
  <si>
    <t>40x40x2.5  SHS</t>
  </si>
  <si>
    <t>40x40x3.0  SHS</t>
  </si>
  <si>
    <t>40x40x4.0  SHS</t>
  </si>
  <si>
    <t>50x50x1.6  SHS</t>
  </si>
  <si>
    <t>50x50x2.0  SHS</t>
  </si>
  <si>
    <t>50x50x2.5  SHS</t>
  </si>
  <si>
    <t>50x50x3 SHS</t>
  </si>
  <si>
    <t>50x50x4 SHS</t>
  </si>
  <si>
    <t>50x50x5.0 SHS</t>
  </si>
  <si>
    <t>65x65x1.6  SHS</t>
  </si>
  <si>
    <t>65x65x2.0  SHS</t>
  </si>
  <si>
    <t>65x65x2.5  SHS</t>
  </si>
  <si>
    <t>65x65x3 SHS</t>
  </si>
  <si>
    <t>65x65x4SHS</t>
  </si>
  <si>
    <t>65x65x5.0  SHS</t>
  </si>
  <si>
    <t>65x65x6.0  SHS</t>
  </si>
  <si>
    <t>75x75x2.0  SHS</t>
  </si>
  <si>
    <t>75x75x2.5 SHS</t>
  </si>
  <si>
    <t>75x75x3.0  SHS</t>
  </si>
  <si>
    <t>75x75x3.5  SHS</t>
  </si>
  <si>
    <t>75 x 75 x 4.0 SHS</t>
  </si>
  <si>
    <t>75 x 75 x 6.0 SHS</t>
  </si>
  <si>
    <t>89x89x3.5 SHS</t>
  </si>
  <si>
    <t>89x89x4 SHS</t>
  </si>
  <si>
    <t>90x90x5 SHS</t>
  </si>
  <si>
    <t>90x90x6 SHS</t>
  </si>
  <si>
    <t>100x100x2.0  SHS</t>
  </si>
  <si>
    <t>100x100x2.5  SHS</t>
  </si>
  <si>
    <t>100x100x3 SHS</t>
  </si>
  <si>
    <t>100x100x4 SHS</t>
  </si>
  <si>
    <t>100x100x5 SHS</t>
  </si>
  <si>
    <t>100x100x6 SHS</t>
  </si>
  <si>
    <t>100x100x9 SHS</t>
  </si>
  <si>
    <t>100x100x9.0 SHS</t>
  </si>
  <si>
    <t>125x125x4 SHS</t>
  </si>
  <si>
    <t>125x125x5 SHS</t>
  </si>
  <si>
    <t>125x125x9 SHS</t>
  </si>
  <si>
    <t>150x150x3.0 SHS</t>
  </si>
  <si>
    <t>150x150x9 SHS</t>
  </si>
  <si>
    <t>200x200x5 SHS</t>
  </si>
  <si>
    <t>200x200x6 SHS</t>
  </si>
  <si>
    <t>200x200x8 SHS</t>
  </si>
  <si>
    <t>200x200x9 SHS</t>
  </si>
  <si>
    <t>250x250x6 SHS</t>
  </si>
  <si>
    <t>250x250x9 SHS</t>
  </si>
  <si>
    <t>50x25x2.5 RHS</t>
  </si>
  <si>
    <t>50x25x3.0 RHS</t>
  </si>
  <si>
    <t>65x35x2.0 RHS</t>
  </si>
  <si>
    <t>65x35x2.5 RHS</t>
  </si>
  <si>
    <t>65x35x3 RHS</t>
  </si>
  <si>
    <t>75x25x1.6 RHS</t>
  </si>
  <si>
    <t>75x25x2.0 RHS</t>
  </si>
  <si>
    <t>75x25x2.5 RHS</t>
  </si>
  <si>
    <t>75x50x1.6 RHS</t>
  </si>
  <si>
    <t>75x50x2.0 RHS</t>
  </si>
  <si>
    <t>75x50x2.5 RHS</t>
  </si>
  <si>
    <t>75x50x3.0 RHS</t>
  </si>
  <si>
    <t>75x50x4 RHS</t>
  </si>
  <si>
    <t>75x50x5.0 RHS</t>
  </si>
  <si>
    <t>75x50x6.0 RHS</t>
  </si>
  <si>
    <t>100x50x1.6 RHS</t>
  </si>
  <si>
    <t>100x50x2 RHS</t>
  </si>
  <si>
    <t>100x50x2.5 RHS</t>
  </si>
  <si>
    <t>100x50x3 RHS</t>
  </si>
  <si>
    <t>100x50x3.5 RHS</t>
  </si>
  <si>
    <t>100x50x4 RHS</t>
  </si>
  <si>
    <t>100x50x5.0 RHS</t>
  </si>
  <si>
    <t>100x50x6 RHS</t>
  </si>
  <si>
    <t>125x75x2RHS</t>
  </si>
  <si>
    <t>125x75x2.5RHS</t>
  </si>
  <si>
    <t>125x75x3 RHS</t>
  </si>
  <si>
    <t>125x75x4 RHS</t>
  </si>
  <si>
    <t>125x75x5 RHS</t>
  </si>
  <si>
    <t>125x75x6 RHS</t>
  </si>
  <si>
    <t>150x50x2.0 RHS</t>
  </si>
  <si>
    <t>150x50x2.5 RHS</t>
  </si>
  <si>
    <t>150x50x3 RHS</t>
  </si>
  <si>
    <t>150x50x4 RHS</t>
  </si>
  <si>
    <t>150x50x5 RHS</t>
  </si>
  <si>
    <t>150x50x6 RHS</t>
  </si>
  <si>
    <t>150x100x4 RHS</t>
  </si>
  <si>
    <t>150x100x5 RHS</t>
  </si>
  <si>
    <t>150x100x6 RHS</t>
  </si>
  <si>
    <t>200x100x4 RHS</t>
  </si>
  <si>
    <t>200x100x5 RHS</t>
  </si>
  <si>
    <t>200x100x6 RHS</t>
  </si>
  <si>
    <t>200x100x9 RHS</t>
  </si>
  <si>
    <t>250x150x5 RHS</t>
  </si>
  <si>
    <t>250x150x6 RHS</t>
  </si>
  <si>
    <t>250x150x9 RHS</t>
  </si>
  <si>
    <t>150PFC</t>
  </si>
  <si>
    <t>180PFC</t>
  </si>
  <si>
    <t>230PFC</t>
  </si>
  <si>
    <t>250PFC</t>
  </si>
  <si>
    <t>300PFC</t>
  </si>
  <si>
    <t>380PFC</t>
  </si>
  <si>
    <t>Structural Members (Galv.)</t>
  </si>
  <si>
    <t>150 UB 14</t>
  </si>
  <si>
    <t>150 UB 18</t>
  </si>
  <si>
    <t>180 UB 18</t>
  </si>
  <si>
    <t>180 UB 22</t>
  </si>
  <si>
    <t>200UB18</t>
  </si>
  <si>
    <t>200 UB 22</t>
  </si>
  <si>
    <t>200 UB 25</t>
  </si>
  <si>
    <t>200 UB 30</t>
  </si>
  <si>
    <t>250 UB 25</t>
  </si>
  <si>
    <t>250UB26</t>
  </si>
  <si>
    <t>250UB31</t>
  </si>
  <si>
    <t>310 UB 32</t>
  </si>
  <si>
    <t>310 UB 40</t>
  </si>
  <si>
    <t>310 UB 46</t>
  </si>
  <si>
    <t>360 UB 44</t>
  </si>
  <si>
    <t>360 UB 51</t>
  </si>
  <si>
    <t>360 UB 57</t>
  </si>
  <si>
    <t>410 UB 54</t>
  </si>
  <si>
    <t>410 UB 60</t>
  </si>
  <si>
    <t>460 UB 67.1</t>
  </si>
  <si>
    <t>460 UB 74</t>
  </si>
  <si>
    <t>460 UB 82</t>
  </si>
  <si>
    <t>530UB82</t>
  </si>
  <si>
    <t>530 UB 92</t>
  </si>
  <si>
    <t>610 UB 101</t>
  </si>
  <si>
    <t>610 UB 113</t>
  </si>
  <si>
    <t>610UB125</t>
  </si>
  <si>
    <t>150 UC 23</t>
  </si>
  <si>
    <t>150 UC 30</t>
  </si>
  <si>
    <t>150 UC 37</t>
  </si>
  <si>
    <t>200 UC 46</t>
  </si>
  <si>
    <t>200 UC 52</t>
  </si>
  <si>
    <t>200UC59.5</t>
  </si>
  <si>
    <t>250UC73</t>
  </si>
  <si>
    <t>250UC90</t>
  </si>
  <si>
    <t>310UC96.8(HDG)</t>
  </si>
  <si>
    <t>310 UC 118</t>
  </si>
  <si>
    <t>310 UC 137</t>
  </si>
  <si>
    <t>310 UC 158</t>
  </si>
  <si>
    <t>50x50x3.0  SHS</t>
  </si>
  <si>
    <t>50x50x4.0  SHS</t>
  </si>
  <si>
    <t>50x50x5.0  SHS</t>
  </si>
  <si>
    <t>65x65x3.0  SHS</t>
  </si>
  <si>
    <t>65x65x4.0  SHS</t>
  </si>
  <si>
    <t>65x65x5 SHS</t>
  </si>
  <si>
    <t>75x75x2.5  SHS</t>
  </si>
  <si>
    <t>75x75x3.0SHS</t>
  </si>
  <si>
    <t>75x75x4 SHS</t>
  </si>
  <si>
    <t>75x75x5.0  SHS</t>
  </si>
  <si>
    <t>75x75x6 SHS</t>
  </si>
  <si>
    <t>89x89x3.5SHS</t>
  </si>
  <si>
    <t>89x89x5.0  SHS</t>
  </si>
  <si>
    <t>89x89x6.0  SHS</t>
  </si>
  <si>
    <t>100x100x3.0  SHS</t>
  </si>
  <si>
    <t>100x100x4.0SHS</t>
  </si>
  <si>
    <t>100x100x5.0  SHS</t>
  </si>
  <si>
    <t>100x100x6.0  SHS</t>
  </si>
  <si>
    <t>100x100x9.0SHS</t>
  </si>
  <si>
    <t>125x125x4.0 SHS</t>
  </si>
  <si>
    <t>125x125x5.0  SHS</t>
  </si>
  <si>
    <t>125x125x6.0  SHS</t>
  </si>
  <si>
    <t>125x125x9.0  SHS</t>
  </si>
  <si>
    <t>150x150x3.0  SHS</t>
  </si>
  <si>
    <t>150x150x4.0  SHS</t>
  </si>
  <si>
    <t>150x150x5.0  SHS</t>
  </si>
  <si>
    <t>150x150x6.0  SHS</t>
  </si>
  <si>
    <t>150x150x9.0  SHS</t>
  </si>
  <si>
    <t>200x200x5.0SHS</t>
  </si>
  <si>
    <t>200x200x6.0  SHS</t>
  </si>
  <si>
    <t>200x200x9.0  SHS</t>
  </si>
  <si>
    <t>250x250x6.0  SHS</t>
  </si>
  <si>
    <t>250x250x9.0  SHS</t>
  </si>
  <si>
    <t>65x35x3.0 RHS</t>
  </si>
  <si>
    <t>75x50x4.0 RHS</t>
  </si>
  <si>
    <t>100x50x2.0 RHS</t>
  </si>
  <si>
    <t>100x50x3.0 RHS</t>
  </si>
  <si>
    <t>100x50x4.0 RHS</t>
  </si>
  <si>
    <t>100x50x5 RHS</t>
  </si>
  <si>
    <t>100x50x6.0 RHS</t>
  </si>
  <si>
    <t>125x75x2.0 RHS</t>
  </si>
  <si>
    <t>125x75x2.5 RHS</t>
  </si>
  <si>
    <t>125x75x3.0 RHS</t>
  </si>
  <si>
    <t>125x75x4.0 RHS</t>
  </si>
  <si>
    <t>125x75x5.0 RHS</t>
  </si>
  <si>
    <t>125x75x6.0 RHS</t>
  </si>
  <si>
    <t>150 x 50 x 3.0RHS</t>
  </si>
  <si>
    <t>150x50x4.0 RHS</t>
  </si>
  <si>
    <t>150x50x5.0 RHS</t>
  </si>
  <si>
    <t>150x50x6.0 RHS</t>
  </si>
  <si>
    <t>150 x 100 x 4.0RHS</t>
  </si>
  <si>
    <t>150x100x5.0 RHS</t>
  </si>
  <si>
    <t>150 x 100 x 6.0RHS</t>
  </si>
  <si>
    <t>200x100x4.0 RHS</t>
  </si>
  <si>
    <t>200x100x5.0 RHS</t>
  </si>
  <si>
    <t>200x100x6.0 RHS</t>
  </si>
  <si>
    <t>200x100x9.0 RHS</t>
  </si>
  <si>
    <t>250x150x5.0 RHS</t>
  </si>
  <si>
    <t>250x150x9.0 RHS</t>
  </si>
  <si>
    <t>150 PFC</t>
  </si>
  <si>
    <t>180 PFC</t>
  </si>
  <si>
    <t>200PFC</t>
  </si>
  <si>
    <t>230 PFC</t>
  </si>
  <si>
    <t>ANGLES</t>
  </si>
  <si>
    <t>50x50x5 EA</t>
  </si>
  <si>
    <t>50x50x6 EA</t>
  </si>
  <si>
    <t>50x50x8 EA</t>
  </si>
  <si>
    <t>55x55x5 EA</t>
  </si>
  <si>
    <t>55x55x6 EA</t>
  </si>
  <si>
    <t>65x65x6 EA</t>
  </si>
  <si>
    <t>65x65x8 EA</t>
  </si>
  <si>
    <t>65x65x10 EA</t>
  </si>
  <si>
    <t>75x75x5 EA</t>
  </si>
  <si>
    <t>75x75x6 EA</t>
  </si>
  <si>
    <t>75x75x10 EA</t>
  </si>
  <si>
    <t>90x90x6 EA</t>
  </si>
  <si>
    <t>90x90x8 EA</t>
  </si>
  <si>
    <t>90x90x10 EA</t>
  </si>
  <si>
    <t>100x100x6 EA</t>
  </si>
  <si>
    <t>100x100x8 EA</t>
  </si>
  <si>
    <t>100x100x10 EA</t>
  </si>
  <si>
    <t>150x150x10 EA</t>
  </si>
  <si>
    <t>150x150x12 EA</t>
  </si>
  <si>
    <t>150x150x16 EA</t>
  </si>
  <si>
    <t>150x150x19 EA</t>
  </si>
  <si>
    <t>200x200x13 EA</t>
  </si>
  <si>
    <t>200x200x16 EA</t>
  </si>
  <si>
    <t>200x200x18 EA</t>
  </si>
  <si>
    <t>200x200x20 EA</t>
  </si>
  <si>
    <t>200x200x26 EA</t>
  </si>
  <si>
    <t>75x50x5 UA</t>
  </si>
  <si>
    <t>75x50x6 UA</t>
  </si>
  <si>
    <t>75x50x8 UA</t>
  </si>
  <si>
    <t>100x75x6 UA</t>
  </si>
  <si>
    <t>100x75x8 UA</t>
  </si>
  <si>
    <t>100x75x10 UA</t>
  </si>
  <si>
    <t>125x75x6 UA</t>
  </si>
  <si>
    <t>125x75x8 UA</t>
  </si>
  <si>
    <t>125x75x10 UA</t>
  </si>
  <si>
    <t>125x75x12 UA</t>
  </si>
  <si>
    <t>150x90x10 UA</t>
  </si>
  <si>
    <t>150x90x12 UA</t>
  </si>
  <si>
    <t>150x90x16 UA</t>
  </si>
  <si>
    <t>150x100x10 UA</t>
  </si>
  <si>
    <t>150x100x12 UA</t>
  </si>
  <si>
    <t>CHS</t>
  </si>
  <si>
    <t>76.1x2.3 CHS</t>
  </si>
  <si>
    <t>76x2.3 CHS</t>
  </si>
  <si>
    <t>76.1x3.2 CHS</t>
  </si>
  <si>
    <t>76x3.2 CHS</t>
  </si>
  <si>
    <t>88.9x2.6 CHS</t>
  </si>
  <si>
    <t>88.9x3.2 CHS</t>
  </si>
  <si>
    <t>89x3.2 CHS</t>
  </si>
  <si>
    <t>88.9x4.8 CHS</t>
  </si>
  <si>
    <t>88.9x5.5 CHS</t>
  </si>
  <si>
    <t>101.6x2.6 CHS</t>
  </si>
  <si>
    <t>101x2.6CHS</t>
  </si>
  <si>
    <t>101.6x3.2 CHS</t>
  </si>
  <si>
    <t>114.3x3.2 CHS</t>
  </si>
  <si>
    <t>114.3x3.6 CHS</t>
  </si>
  <si>
    <t>114x3.6CHS</t>
  </si>
  <si>
    <t>114.3x4.8 CHS</t>
  </si>
  <si>
    <t>114.3x6.0 CHS</t>
  </si>
  <si>
    <t>139.7x3 CHS</t>
  </si>
  <si>
    <t>139.7x3.5 CHS</t>
  </si>
  <si>
    <t>140x3.5 CHS</t>
  </si>
  <si>
    <t>165.1x3 CHS</t>
  </si>
  <si>
    <t>165.1x3.5 CHS</t>
  </si>
  <si>
    <t>165x3.5CHS</t>
  </si>
  <si>
    <t>168.3x3.2 CHS</t>
  </si>
  <si>
    <t>168.3x6.4 CHS</t>
  </si>
  <si>
    <t>168.3x7.1 CHS</t>
  </si>
  <si>
    <t>219.1x4.0 CHS</t>
  </si>
  <si>
    <t>219.1x4.8 CHS</t>
  </si>
  <si>
    <t>219x4.8 CHS</t>
  </si>
  <si>
    <t>219.1x6.4 CHS</t>
  </si>
  <si>
    <t>219.1x8.2 CHS</t>
  </si>
  <si>
    <t>219.1x12.7 CHS</t>
  </si>
  <si>
    <t>273.1x4.8 CHS</t>
  </si>
  <si>
    <t>273.1x6.4 CHS</t>
  </si>
  <si>
    <t>273.1x9.3 CHS</t>
  </si>
  <si>
    <t>273.1x12.7 CHS</t>
  </si>
  <si>
    <t>Rod &amp; Bracing</t>
  </si>
  <si>
    <t>12mm Dia. Rod</t>
  </si>
  <si>
    <t>16mm Dia. Rod</t>
  </si>
  <si>
    <t>18mm Dia. Rod</t>
  </si>
  <si>
    <t>20mm Dia. Rod</t>
  </si>
  <si>
    <t>24mm Dia. Rod</t>
  </si>
  <si>
    <t>50mm Dia Rod</t>
  </si>
  <si>
    <t>Cleats &amp; Plates &amp; Bolts</t>
  </si>
  <si>
    <t>75 x  5F</t>
  </si>
  <si>
    <t>75 x  6F</t>
  </si>
  <si>
    <t>75x8 F</t>
  </si>
  <si>
    <t>75 x 10F</t>
  </si>
  <si>
    <t>75x12 PL</t>
  </si>
  <si>
    <t>75 x 12F</t>
  </si>
  <si>
    <t>90 x 10F</t>
  </si>
  <si>
    <t>100 x  8F</t>
  </si>
  <si>
    <t>100 x 12F</t>
  </si>
  <si>
    <t>150 x 12F</t>
  </si>
  <si>
    <t>180 x 10F</t>
  </si>
  <si>
    <t>180 x 20F</t>
  </si>
  <si>
    <t>200 x 10F</t>
  </si>
  <si>
    <t>200x12 PL</t>
  </si>
  <si>
    <t>200 x 20F</t>
  </si>
  <si>
    <t>250 x 12F</t>
  </si>
  <si>
    <t>300x10F</t>
  </si>
  <si>
    <t>300x10 PL</t>
  </si>
  <si>
    <t>300 x 12F</t>
  </si>
  <si>
    <t>300x12 PL</t>
  </si>
  <si>
    <t>Misc Additions</t>
  </si>
  <si>
    <t>125x125x10 EA</t>
  </si>
  <si>
    <t>101.6x5 CHS</t>
  </si>
  <si>
    <t>76.1x3.6 CHS</t>
  </si>
  <si>
    <t>273.1x8 CHS</t>
  </si>
  <si>
    <t>194x5 CHS</t>
  </si>
  <si>
    <t>114.3x5.4 CHS</t>
  </si>
  <si>
    <t>125 PFC</t>
  </si>
  <si>
    <t>60.3x5.4 CHS</t>
  </si>
  <si>
    <t>48.3x2.3 CHS</t>
  </si>
  <si>
    <t>101.6x4.0 CHS</t>
  </si>
  <si>
    <t>50x5 PL.</t>
  </si>
  <si>
    <t>42x3.2 CHS</t>
  </si>
  <si>
    <t>114.3x4.5 CHS</t>
  </si>
  <si>
    <t>300x300x10 SHS</t>
  </si>
  <si>
    <t>114x5.4 CHS</t>
  </si>
  <si>
    <t>88.9x4 CHS</t>
  </si>
  <si>
    <t>30mm Dia. Rod</t>
  </si>
  <si>
    <t>205BT30</t>
  </si>
  <si>
    <t>250x10 PL</t>
  </si>
  <si>
    <t>400x10 PL</t>
  </si>
  <si>
    <t>350x10 PL</t>
  </si>
  <si>
    <t>450x20 PL</t>
  </si>
  <si>
    <t>450x25 PL</t>
  </si>
  <si>
    <t>450x32 PL</t>
  </si>
  <si>
    <t>125x125x8 EA</t>
  </si>
  <si>
    <t>88.9x5 CHS</t>
  </si>
  <si>
    <t>300x30 PL</t>
  </si>
  <si>
    <t>300x300x5 SHS</t>
  </si>
  <si>
    <t>200x50x5 RHS</t>
  </si>
  <si>
    <t>125BT18.7</t>
  </si>
  <si>
    <t>100x100x8  EA</t>
  </si>
  <si>
    <t>89x89x3 SHS</t>
  </si>
  <si>
    <t>89x89x5 SHS + 125x125x8 EA</t>
  </si>
  <si>
    <t>300x200x6 RHS</t>
  </si>
  <si>
    <t>200 PFC + 75x75x5 EA</t>
  </si>
  <si>
    <t>75x4 CHS</t>
  </si>
  <si>
    <t>100x4 CHS</t>
  </si>
  <si>
    <t>230PFC+150x150x10 EA</t>
  </si>
  <si>
    <t>100 PFC</t>
  </si>
  <si>
    <t>32mm Dia. Rod</t>
  </si>
  <si>
    <t>50x50x3 EA</t>
  </si>
  <si>
    <t>76.1x4.5 CHS</t>
  </si>
  <si>
    <t>150x100x9 RHS</t>
  </si>
  <si>
    <t>230 PFC + 90 x 8 EA</t>
  </si>
  <si>
    <t>180UB16</t>
  </si>
  <si>
    <t>380PFC+10 PLATE</t>
  </si>
  <si>
    <t>230BT33</t>
  </si>
  <si>
    <t>50x8 PL</t>
  </si>
  <si>
    <t>150x150x8 SHS</t>
  </si>
  <si>
    <t>100x100x10 SHS</t>
  </si>
  <si>
    <t>165.1x5 CHS</t>
  </si>
  <si>
    <t>200UB52.2</t>
  </si>
  <si>
    <t>75 PFC</t>
  </si>
  <si>
    <t>130x10 PL</t>
  </si>
  <si>
    <t>100x10 PL</t>
  </si>
  <si>
    <t>114.3 x 5.4 CHS</t>
  </si>
  <si>
    <t>150x75x5 RHS</t>
  </si>
  <si>
    <t>250 PFC+200UB22</t>
  </si>
  <si>
    <t>50x3 PL</t>
  </si>
  <si>
    <t>165x5 CHS</t>
  </si>
  <si>
    <t>100x5 CHS</t>
  </si>
  <si>
    <t>75x4 EA DuraGal</t>
  </si>
</sst>
</file>

<file path=xl/styles.xml><?xml version="1.0" encoding="utf-8"?>
<styleSheet xmlns="http://schemas.openxmlformats.org/spreadsheetml/2006/main">
  <numFmts count="8">
    <numFmt numFmtId="42" formatCode="_(&quot;$&quot;* #,##0_);_(&quot;$&quot;* \(#,##0\);_(&quot;$&quot;* &quot;-&quot;_);_(@_)"/>
    <numFmt numFmtId="176" formatCode="_(* #,##0.000_);_(* \(#,##0.000\);_(* &quot;-&quot;???_);_(@_)"/>
    <numFmt numFmtId="177" formatCode="_ * #,##0_ ;_ * \-#,##0_ ;_ * &quot;-&quot;_ ;_ @_ "/>
    <numFmt numFmtId="178" formatCode="_ * #,##0.00_ ;_ * \-#,##0.00_ ;_ * &quot;-&quot;??_ ;_ @_ "/>
    <numFmt numFmtId="44" formatCode="_(&quot;$&quot;* #,##0.00_);_(&quot;$&quot;* \(#,##0.00\);_(&quot;$&quot;* &quot;-&quot;??_);_(@_)"/>
    <numFmt numFmtId="43" formatCode="_(* #,##0.00_);_(* \(#,##0.00\);_(* &quot;-&quot;??_);_(@_)"/>
    <numFmt numFmtId="179" formatCode="_(* #,##0.000_);_(* \(#,##0.000\);_(* &quot;-&quot;??_);_(@_)"/>
    <numFmt numFmtId="180" formatCode="0.0"/>
  </numFmts>
  <fonts count="45">
    <font>
      <sz val="12"/>
      <color theme="1"/>
      <name val="Times New Roman"/>
      <charset val="134"/>
    </font>
    <font>
      <sz val="10"/>
      <color theme="1"/>
      <name val="Segoe UI"/>
      <charset val="134"/>
    </font>
    <font>
      <b/>
      <sz val="10"/>
      <color theme="1"/>
      <name val="Segoe UI"/>
      <charset val="134"/>
    </font>
    <font>
      <b/>
      <sz val="10"/>
      <color theme="0"/>
      <name val="Segoe UI"/>
      <charset val="134"/>
    </font>
    <font>
      <sz val="10"/>
      <color theme="0"/>
      <name val="Segoe UI"/>
      <charset val="134"/>
    </font>
    <font>
      <sz val="9"/>
      <color theme="1"/>
      <name val="Segoe UI"/>
      <charset val="134"/>
    </font>
    <font>
      <sz val="9"/>
      <name val="Segoe UI"/>
      <charset val="134"/>
    </font>
    <font>
      <sz val="9"/>
      <color rgb="FFC00000"/>
      <name val="Segoe UI"/>
      <charset val="134"/>
    </font>
    <font>
      <sz val="9"/>
      <color rgb="FF0000CC"/>
      <name val="Segoe UI"/>
      <charset val="134"/>
    </font>
    <font>
      <b/>
      <sz val="9"/>
      <color theme="1"/>
      <name val="Segoe UI"/>
      <charset val="134"/>
    </font>
    <font>
      <b/>
      <sz val="9"/>
      <name val="Segoe UI"/>
      <charset val="134"/>
    </font>
    <font>
      <b/>
      <sz val="9"/>
      <color rgb="FFFF0000"/>
      <name val="Segoe UI"/>
      <charset val="134"/>
    </font>
    <font>
      <sz val="9"/>
      <color rgb="FFFF0000"/>
      <name val="Segoe UI"/>
      <charset val="134"/>
    </font>
    <font>
      <b/>
      <sz val="9"/>
      <color rgb="FFC00000"/>
      <name val="Segoe UI"/>
      <charset val="134"/>
    </font>
    <font>
      <b/>
      <sz val="9"/>
      <color rgb="FF0000CC"/>
      <name val="Segoe UI"/>
      <charset val="134"/>
    </font>
    <font>
      <b/>
      <sz val="10"/>
      <color rgb="FF0000FF"/>
      <name val="Segoe UI"/>
      <charset val="134"/>
    </font>
    <font>
      <sz val="10"/>
      <color rgb="FF0000FF"/>
      <name val="Segoe UI"/>
      <charset val="134"/>
    </font>
    <font>
      <b/>
      <sz val="10"/>
      <color rgb="FF0070C0"/>
      <name val="Segoe UI"/>
      <charset val="134"/>
    </font>
    <font>
      <b/>
      <sz val="10"/>
      <color rgb="FFC00000"/>
      <name val="Segoe UI"/>
      <charset val="134"/>
    </font>
    <font>
      <sz val="10"/>
      <color rgb="FF0070C0"/>
      <name val="Segoe UI"/>
      <charset val="134"/>
    </font>
    <font>
      <sz val="10"/>
      <color rgb="FFC00000"/>
      <name val="Segoe UI"/>
      <charset val="134"/>
    </font>
    <font>
      <b/>
      <u val="singleAccounting"/>
      <sz val="10"/>
      <color rgb="FF0000FF"/>
      <name val="Segoe UI"/>
      <charset val="134"/>
    </font>
    <font>
      <sz val="10"/>
      <name val="Segoe UI"/>
      <charset val="134"/>
    </font>
    <font>
      <sz val="10"/>
      <color theme="0" tint="-0.499984740745262"/>
      <name val="Segoe UI"/>
      <charset val="134"/>
    </font>
    <font>
      <sz val="10"/>
      <color rgb="FFFF0000"/>
      <name val="Segoe UI"/>
      <charset val="134"/>
    </font>
    <font>
      <sz val="11"/>
      <color theme="1"/>
      <name val="Calibri"/>
      <charset val="0"/>
      <scheme val="minor"/>
    </font>
    <font>
      <sz val="11"/>
      <color rgb="FF9C0006"/>
      <name val="Calibri"/>
      <charset val="0"/>
      <scheme val="minor"/>
    </font>
    <font>
      <sz val="11"/>
      <color theme="0"/>
      <name val="Calibri"/>
      <charset val="0"/>
      <scheme val="minor"/>
    </font>
    <font>
      <b/>
      <sz val="13"/>
      <color theme="3"/>
      <name val="Calibri"/>
      <charset val="134"/>
      <scheme val="minor"/>
    </font>
    <font>
      <b/>
      <sz val="11"/>
      <color theme="1"/>
      <name val="Calibri"/>
      <charset val="0"/>
      <scheme val="minor"/>
    </font>
    <font>
      <b/>
      <sz val="11"/>
      <color rgb="FFFFFFFF"/>
      <name val="Calibri"/>
      <charset val="0"/>
      <scheme val="minor"/>
    </font>
    <font>
      <b/>
      <sz val="11"/>
      <color rgb="FFFA7D00"/>
      <name val="Calibri"/>
      <charset val="0"/>
      <scheme val="minor"/>
    </font>
    <font>
      <sz val="11"/>
      <color theme="1"/>
      <name val="Calibri"/>
      <charset val="134"/>
      <scheme val="minor"/>
    </font>
    <font>
      <b/>
      <sz val="11"/>
      <color rgb="FF3F3F3F"/>
      <name val="Calibri"/>
      <charset val="0"/>
      <scheme val="minor"/>
    </font>
    <font>
      <sz val="11"/>
      <color rgb="FFFA7D00"/>
      <name val="Calibri"/>
      <charset val="0"/>
      <scheme val="minor"/>
    </font>
    <font>
      <sz val="11"/>
      <color rgb="FF3F3F76"/>
      <name val="Calibri"/>
      <charset val="0"/>
      <scheme val="minor"/>
    </font>
    <font>
      <sz val="11"/>
      <color rgb="FF006100"/>
      <name val="Calibri"/>
      <charset val="0"/>
      <scheme val="minor"/>
    </font>
    <font>
      <b/>
      <sz val="11"/>
      <color theme="3"/>
      <name val="Calibri"/>
      <charset val="134"/>
      <scheme val="minor"/>
    </font>
    <font>
      <i/>
      <sz val="11"/>
      <color rgb="FF7F7F7F"/>
      <name val="Calibri"/>
      <charset val="0"/>
      <scheme val="minor"/>
    </font>
    <font>
      <u/>
      <sz val="11"/>
      <color rgb="FF0000FF"/>
      <name val="Calibri"/>
      <charset val="0"/>
      <scheme val="minor"/>
    </font>
    <font>
      <sz val="11"/>
      <color rgb="FFFF0000"/>
      <name val="Calibri"/>
      <charset val="0"/>
      <scheme val="minor"/>
    </font>
    <font>
      <u/>
      <sz val="11"/>
      <color rgb="FF800080"/>
      <name val="Calibri"/>
      <charset val="0"/>
      <scheme val="minor"/>
    </font>
    <font>
      <b/>
      <sz val="18"/>
      <color theme="3"/>
      <name val="Calibri"/>
      <charset val="134"/>
      <scheme val="minor"/>
    </font>
    <font>
      <b/>
      <sz val="15"/>
      <color theme="3"/>
      <name val="Calibri"/>
      <charset val="134"/>
      <scheme val="minor"/>
    </font>
    <font>
      <sz val="11"/>
      <color rgb="FF9C6500"/>
      <name val="Calibri"/>
      <charset val="0"/>
      <scheme val="minor"/>
    </font>
  </fonts>
  <fills count="38">
    <fill>
      <patternFill patternType="none"/>
    </fill>
    <fill>
      <patternFill patternType="gray125"/>
    </fill>
    <fill>
      <patternFill patternType="solid">
        <fgColor theme="0" tint="-0.149998474074526"/>
        <bgColor indexed="64"/>
      </patternFill>
    </fill>
    <fill>
      <patternFill patternType="solid">
        <fgColor rgb="FF002060"/>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00B0F0"/>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xf numFmtId="0" fontId="25" fillId="30" borderId="0" applyNumberFormat="0" applyBorder="0" applyAlignment="0" applyProtection="0">
      <alignment vertical="center"/>
    </xf>
    <xf numFmtId="178" fontId="32" fillId="0" borderId="0" applyFont="0" applyFill="0" applyBorder="0" applyAlignment="0" applyProtection="0">
      <alignment vertical="center"/>
    </xf>
    <xf numFmtId="177" fontId="32" fillId="0" borderId="0" applyFont="0" applyFill="0" applyBorder="0" applyAlignment="0" applyProtection="0">
      <alignment vertical="center"/>
    </xf>
    <xf numFmtId="42" fontId="32" fillId="0" borderId="0" applyFont="0" applyFill="0" applyBorder="0" applyAlignment="0" applyProtection="0">
      <alignment vertical="center"/>
    </xf>
    <xf numFmtId="44" fontId="32" fillId="0" borderId="0" applyFont="0" applyFill="0" applyBorder="0" applyAlignment="0" applyProtection="0">
      <alignment vertical="center"/>
    </xf>
    <xf numFmtId="9" fontId="0" fillId="0" borderId="0" applyFont="0" applyFill="0" applyBorder="0" applyAlignment="0" applyProtection="0"/>
    <xf numFmtId="0" fontId="30" fillId="19" borderId="7" applyNumberFormat="0" applyAlignment="0" applyProtection="0">
      <alignment vertical="center"/>
    </xf>
    <xf numFmtId="0" fontId="28" fillId="0" borderId="5" applyNumberFormat="0" applyFill="0" applyAlignment="0" applyProtection="0">
      <alignment vertical="center"/>
    </xf>
    <xf numFmtId="0" fontId="32" fillId="33" borderId="11" applyNumberFormat="0" applyFont="0" applyAlignment="0" applyProtection="0">
      <alignment vertical="center"/>
    </xf>
    <xf numFmtId="0" fontId="39" fillId="0" borderId="0" applyNumberFormat="0" applyFill="0" applyBorder="0" applyAlignment="0" applyProtection="0">
      <alignment vertical="center"/>
    </xf>
    <xf numFmtId="0" fontId="27" fillId="15" borderId="0" applyNumberFormat="0" applyBorder="0" applyAlignment="0" applyProtection="0">
      <alignment vertical="center"/>
    </xf>
    <xf numFmtId="0" fontId="41" fillId="0" borderId="0" applyNumberFormat="0" applyFill="0" applyBorder="0" applyAlignment="0" applyProtection="0">
      <alignment vertical="center"/>
    </xf>
    <xf numFmtId="0" fontId="25" fillId="4" borderId="0" applyNumberFormat="0" applyBorder="0" applyAlignment="0" applyProtection="0">
      <alignment vertical="center"/>
    </xf>
    <xf numFmtId="0" fontId="40" fillId="0" borderId="0" applyNumberFormat="0" applyFill="0" applyBorder="0" applyAlignment="0" applyProtection="0">
      <alignment vertical="center"/>
    </xf>
    <xf numFmtId="0" fontId="25" fillId="32" borderId="0" applyNumberFormat="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5" applyNumberFormat="0" applyFill="0" applyAlignment="0" applyProtection="0">
      <alignment vertical="center"/>
    </xf>
    <xf numFmtId="0" fontId="37" fillId="0" borderId="12" applyNumberFormat="0" applyFill="0" applyAlignment="0" applyProtection="0">
      <alignment vertical="center"/>
    </xf>
    <xf numFmtId="0" fontId="37" fillId="0" borderId="0" applyNumberFormat="0" applyFill="0" applyBorder="0" applyAlignment="0" applyProtection="0">
      <alignment vertical="center"/>
    </xf>
    <xf numFmtId="0" fontId="35" fillId="26" borderId="8" applyNumberFormat="0" applyAlignment="0" applyProtection="0">
      <alignment vertical="center"/>
    </xf>
    <xf numFmtId="0" fontId="27" fillId="29" borderId="0" applyNumberFormat="0" applyBorder="0" applyAlignment="0" applyProtection="0">
      <alignment vertical="center"/>
    </xf>
    <xf numFmtId="0" fontId="36" fillId="28" borderId="0" applyNumberFormat="0" applyBorder="0" applyAlignment="0" applyProtection="0">
      <alignment vertical="center"/>
    </xf>
    <xf numFmtId="0" fontId="33" fillId="21" borderId="9" applyNumberFormat="0" applyAlignment="0" applyProtection="0">
      <alignment vertical="center"/>
    </xf>
    <xf numFmtId="0" fontId="25" fillId="22" borderId="0" applyNumberFormat="0" applyBorder="0" applyAlignment="0" applyProtection="0">
      <alignment vertical="center"/>
    </xf>
    <xf numFmtId="0" fontId="31" fillId="21" borderId="8" applyNumberFormat="0" applyAlignment="0" applyProtection="0">
      <alignment vertical="center"/>
    </xf>
    <xf numFmtId="0" fontId="34" fillId="0" borderId="10" applyNumberFormat="0" applyFill="0" applyAlignment="0" applyProtection="0">
      <alignment vertical="center"/>
    </xf>
    <xf numFmtId="0" fontId="29" fillId="0" borderId="6" applyNumberFormat="0" applyFill="0" applyAlignment="0" applyProtection="0">
      <alignment vertical="center"/>
    </xf>
    <xf numFmtId="0" fontId="26" fillId="14" borderId="0" applyNumberFormat="0" applyBorder="0" applyAlignment="0" applyProtection="0">
      <alignment vertical="center"/>
    </xf>
    <xf numFmtId="0" fontId="44" fillId="37" borderId="0" applyNumberFormat="0" applyBorder="0" applyAlignment="0" applyProtection="0">
      <alignment vertical="center"/>
    </xf>
    <xf numFmtId="0" fontId="27" fillId="27" borderId="0" applyNumberFormat="0" applyBorder="0" applyAlignment="0" applyProtection="0">
      <alignment vertical="center"/>
    </xf>
    <xf numFmtId="0" fontId="32" fillId="0" borderId="0"/>
    <xf numFmtId="0" fontId="25" fillId="23" borderId="0" applyNumberFormat="0" applyBorder="0" applyAlignment="0" applyProtection="0">
      <alignment vertical="center"/>
    </xf>
    <xf numFmtId="0" fontId="27" fillId="18" borderId="0" applyNumberFormat="0" applyBorder="0" applyAlignment="0" applyProtection="0">
      <alignment vertical="center"/>
    </xf>
    <xf numFmtId="0" fontId="27" fillId="36" borderId="0" applyNumberFormat="0" applyBorder="0" applyAlignment="0" applyProtection="0">
      <alignment vertical="center"/>
    </xf>
    <xf numFmtId="0" fontId="25" fillId="9" borderId="0" applyNumberFormat="0" applyBorder="0" applyAlignment="0" applyProtection="0">
      <alignment vertical="center"/>
    </xf>
    <xf numFmtId="0" fontId="25" fillId="17" borderId="0" applyNumberFormat="0" applyBorder="0" applyAlignment="0" applyProtection="0">
      <alignment vertical="center"/>
    </xf>
    <xf numFmtId="0" fontId="27" fillId="31" borderId="0" applyNumberFormat="0" applyBorder="0" applyAlignment="0" applyProtection="0">
      <alignment vertical="center"/>
    </xf>
    <xf numFmtId="0" fontId="27" fillId="35" borderId="0" applyNumberFormat="0" applyBorder="0" applyAlignment="0" applyProtection="0">
      <alignment vertical="center"/>
    </xf>
    <xf numFmtId="0" fontId="25" fillId="13" borderId="0" applyNumberFormat="0" applyBorder="0" applyAlignment="0" applyProtection="0">
      <alignment vertical="center"/>
    </xf>
    <xf numFmtId="0" fontId="27" fillId="16"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27" fillId="25" borderId="0" applyNumberFormat="0" applyBorder="0" applyAlignment="0" applyProtection="0">
      <alignment vertical="center"/>
    </xf>
    <xf numFmtId="0" fontId="25" fillId="20" borderId="0" applyNumberFormat="0" applyBorder="0" applyAlignment="0" applyProtection="0">
      <alignment vertical="center"/>
    </xf>
    <xf numFmtId="0" fontId="27" fillId="34" borderId="0" applyNumberFormat="0" applyBorder="0" applyAlignment="0" applyProtection="0">
      <alignment vertical="center"/>
    </xf>
    <xf numFmtId="0" fontId="27" fillId="24" borderId="0" applyNumberFormat="0" applyBorder="0" applyAlignment="0" applyProtection="0">
      <alignment vertical="center"/>
    </xf>
    <xf numFmtId="0" fontId="25" fillId="8" borderId="0" applyNumberFormat="0" applyBorder="0" applyAlignment="0" applyProtection="0">
      <alignment vertical="center"/>
    </xf>
    <xf numFmtId="0" fontId="27" fillId="10" borderId="0" applyNumberFormat="0" applyBorder="0" applyAlignment="0" applyProtection="0">
      <alignment vertical="center"/>
    </xf>
  </cellStyleXfs>
  <cellXfs count="160">
    <xf numFmtId="0" fontId="0" fillId="0" borderId="0" xfId="0"/>
    <xf numFmtId="0" fontId="1" fillId="0" borderId="0" xfId="32" applyFont="1" applyFill="1"/>
    <xf numFmtId="0" fontId="2" fillId="0" borderId="1" xfId="32" applyFont="1" applyFill="1" applyBorder="1" applyAlignment="1">
      <alignment horizontal="center"/>
    </xf>
    <xf numFmtId="0" fontId="2" fillId="2" borderId="1" xfId="0" applyFont="1" applyFill="1" applyBorder="1" applyAlignment="1">
      <alignment horizontal="center" vertical="center"/>
    </xf>
    <xf numFmtId="0" fontId="3" fillId="3" borderId="1" xfId="32" applyFont="1" applyFill="1" applyBorder="1" applyAlignment="1"/>
    <xf numFmtId="0" fontId="1" fillId="0" borderId="1" xfId="32" applyFont="1" applyFill="1" applyBorder="1"/>
    <xf numFmtId="0" fontId="1" fillId="2" borderId="1" xfId="32" applyFont="1" applyFill="1" applyBorder="1"/>
    <xf numFmtId="0" fontId="3" fillId="3" borderId="1" xfId="32" applyFont="1" applyFill="1" applyBorder="1"/>
    <xf numFmtId="0" fontId="4" fillId="3" borderId="1" xfId="32" applyFont="1" applyFill="1" applyBorder="1"/>
    <xf numFmtId="0" fontId="1" fillId="0" borderId="1" xfId="32" applyFont="1" applyFill="1" applyBorder="1" applyAlignment="1">
      <alignment horizontal="left" vertical="center"/>
    </xf>
    <xf numFmtId="0" fontId="5" fillId="0" borderId="0" xfId="0" applyFont="1" applyAlignment="1">
      <alignment horizontal="center" vertical="center"/>
    </xf>
    <xf numFmtId="0" fontId="5" fillId="0" borderId="0" xfId="0" applyFont="1"/>
    <xf numFmtId="0" fontId="6" fillId="0" borderId="0" xfId="0" applyFont="1"/>
    <xf numFmtId="0" fontId="5" fillId="4" borderId="0" xfId="0" applyFont="1" applyFill="1" applyAlignment="1">
      <alignment horizontal="center"/>
    </xf>
    <xf numFmtId="43" fontId="5" fillId="0" borderId="0" xfId="0" applyNumberFormat="1" applyFont="1"/>
    <xf numFmtId="43" fontId="5" fillId="5" borderId="0" xfId="0" applyNumberFormat="1" applyFont="1" applyFill="1"/>
    <xf numFmtId="43" fontId="7" fillId="0" borderId="0" xfId="0" applyNumberFormat="1" applyFont="1"/>
    <xf numFmtId="43" fontId="8" fillId="0" borderId="0" xfId="0" applyNumberFormat="1" applyFont="1"/>
    <xf numFmtId="0" fontId="9" fillId="0" borderId="0" xfId="0" applyFont="1"/>
    <xf numFmtId="0" fontId="5" fillId="0" borderId="0" xfId="0" applyFont="1" applyFill="1" applyAlignment="1">
      <alignment horizontal="center"/>
    </xf>
    <xf numFmtId="0" fontId="5" fillId="0" borderId="0" xfId="0" applyFont="1" applyFill="1"/>
    <xf numFmtId="43" fontId="5" fillId="0" borderId="0" xfId="0" applyNumberFormat="1" applyFont="1" applyFill="1"/>
    <xf numFmtId="0" fontId="10"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43" fontId="9" fillId="0" borderId="1" xfId="0" applyNumberFormat="1" applyFont="1" applyBorder="1" applyAlignment="1">
      <alignment horizontal="center" vertical="center" wrapText="1"/>
    </xf>
    <xf numFmtId="0" fontId="11" fillId="0" borderId="0" xfId="0" applyFont="1"/>
    <xf numFmtId="0" fontId="6" fillId="0" borderId="2" xfId="0" applyFont="1" applyBorder="1"/>
    <xf numFmtId="0" fontId="5" fillId="4" borderId="2" xfId="0" applyFont="1" applyFill="1" applyBorder="1" applyAlignment="1">
      <alignment horizontal="center"/>
    </xf>
    <xf numFmtId="0" fontId="5" fillId="0" borderId="2" xfId="0" applyFont="1" applyBorder="1"/>
    <xf numFmtId="43" fontId="5" fillId="0" borderId="2" xfId="0" applyNumberFormat="1" applyFont="1" applyBorder="1"/>
    <xf numFmtId="0" fontId="5" fillId="0" borderId="0" xfId="0" applyFont="1" applyAlignment="1">
      <alignment horizontal="center"/>
    </xf>
    <xf numFmtId="0" fontId="5" fillId="2" borderId="2" xfId="0" applyFont="1" applyFill="1" applyBorder="1" applyAlignment="1">
      <alignment horizontal="center" vertical="center"/>
    </xf>
    <xf numFmtId="0" fontId="12" fillId="4" borderId="2" xfId="0" applyFont="1" applyFill="1" applyBorder="1" applyAlignment="1">
      <alignment horizontal="center"/>
    </xf>
    <xf numFmtId="43" fontId="9" fillId="5" borderId="1" xfId="0" applyNumberFormat="1" applyFont="1" applyFill="1" applyBorder="1" applyAlignment="1">
      <alignment horizontal="center" vertical="center" wrapText="1"/>
    </xf>
    <xf numFmtId="43" fontId="9" fillId="0" borderId="1" xfId="0" applyNumberFormat="1" applyFont="1" applyBorder="1" applyAlignment="1">
      <alignment horizontal="center" vertical="center"/>
    </xf>
    <xf numFmtId="43" fontId="13" fillId="0" borderId="1" xfId="0" applyNumberFormat="1" applyFont="1" applyBorder="1" applyAlignment="1">
      <alignment horizontal="center" vertical="center" wrapText="1"/>
    </xf>
    <xf numFmtId="43" fontId="14" fillId="0" borderId="1" xfId="0" applyNumberFormat="1" applyFont="1" applyBorder="1" applyAlignment="1">
      <alignment horizontal="center" vertical="center" wrapText="1"/>
    </xf>
    <xf numFmtId="0" fontId="9" fillId="6" borderId="1" xfId="0" applyFont="1" applyFill="1" applyBorder="1" applyAlignment="1">
      <alignment horizontal="center" vertical="center"/>
    </xf>
    <xf numFmtId="43" fontId="5" fillId="5" borderId="2" xfId="0" applyNumberFormat="1" applyFont="1" applyFill="1" applyBorder="1"/>
    <xf numFmtId="43" fontId="7" fillId="0" borderId="2" xfId="0" applyNumberFormat="1" applyFont="1" applyBorder="1"/>
    <xf numFmtId="43" fontId="8" fillId="0" borderId="2" xfId="0" applyNumberFormat="1" applyFont="1" applyBorder="1"/>
    <xf numFmtId="0" fontId="5" fillId="6" borderId="2" xfId="0" applyFont="1" applyFill="1" applyBorder="1" applyAlignment="1">
      <alignment horizontal="center" wrapText="1"/>
    </xf>
    <xf numFmtId="179" fontId="7" fillId="0" borderId="2" xfId="0" applyNumberFormat="1" applyFont="1" applyBorder="1"/>
    <xf numFmtId="0" fontId="5" fillId="0" borderId="0" xfId="0" applyFont="1" applyAlignment="1">
      <alignment horizontal="left" indent="2"/>
    </xf>
    <xf numFmtId="0" fontId="5" fillId="7" borderId="0" xfId="0" applyFont="1" applyFill="1"/>
    <xf numFmtId="0" fontId="6" fillId="7" borderId="2" xfId="0" applyFont="1" applyFill="1" applyBorder="1"/>
    <xf numFmtId="0" fontId="12" fillId="7" borderId="2" xfId="0" applyFont="1" applyFill="1" applyBorder="1" applyAlignment="1">
      <alignment horizontal="center"/>
    </xf>
    <xf numFmtId="0" fontId="5" fillId="7" borderId="2" xfId="0" applyFont="1" applyFill="1" applyBorder="1"/>
    <xf numFmtId="43" fontId="5" fillId="7" borderId="2" xfId="0" applyNumberFormat="1" applyFont="1" applyFill="1" applyBorder="1"/>
    <xf numFmtId="0" fontId="5" fillId="7" borderId="2" xfId="0" applyFont="1" applyFill="1" applyBorder="1" applyAlignment="1">
      <alignment horizontal="center" vertical="center"/>
    </xf>
    <xf numFmtId="0" fontId="5" fillId="7" borderId="2" xfId="0" applyFont="1" applyFill="1" applyBorder="1" applyAlignment="1">
      <alignment horizontal="center"/>
    </xf>
    <xf numFmtId="0" fontId="6" fillId="0" borderId="3" xfId="0" applyFont="1" applyBorder="1"/>
    <xf numFmtId="0" fontId="5" fillId="2" borderId="3" xfId="0" applyFont="1" applyFill="1" applyBorder="1" applyAlignment="1">
      <alignment horizontal="center" vertical="center"/>
    </xf>
    <xf numFmtId="0" fontId="5" fillId="4" borderId="3" xfId="0" applyFont="1" applyFill="1" applyBorder="1" applyAlignment="1">
      <alignment horizontal="center"/>
    </xf>
    <xf numFmtId="0" fontId="5" fillId="0" borderId="3" xfId="0" applyFont="1" applyBorder="1"/>
    <xf numFmtId="43" fontId="5" fillId="0" borderId="3" xfId="0" applyNumberFormat="1" applyFont="1" applyBorder="1"/>
    <xf numFmtId="0" fontId="5" fillId="6" borderId="2" xfId="0" applyFont="1" applyFill="1" applyBorder="1" applyAlignment="1">
      <alignment horizontal="center"/>
    </xf>
    <xf numFmtId="179" fontId="7" fillId="7" borderId="2" xfId="0" applyNumberFormat="1" applyFont="1" applyFill="1" applyBorder="1"/>
    <xf numFmtId="0" fontId="5" fillId="7" borderId="2" xfId="0" applyFont="1" applyFill="1" applyBorder="1" applyAlignment="1">
      <alignment horizontal="center" wrapText="1"/>
    </xf>
    <xf numFmtId="43" fontId="8" fillId="7" borderId="2" xfId="0" applyNumberFormat="1" applyFont="1" applyFill="1" applyBorder="1"/>
    <xf numFmtId="43" fontId="5" fillId="5" borderId="3" xfId="0" applyNumberFormat="1" applyFont="1" applyFill="1" applyBorder="1"/>
    <xf numFmtId="43" fontId="7" fillId="0" borderId="3" xfId="0" applyNumberFormat="1" applyFont="1" applyBorder="1"/>
    <xf numFmtId="43" fontId="8" fillId="0" borderId="3" xfId="0" applyNumberFormat="1" applyFont="1" applyBorder="1"/>
    <xf numFmtId="0" fontId="5" fillId="6" borderId="3" xfId="0" applyFont="1" applyFill="1" applyBorder="1" applyAlignment="1">
      <alignment horizontal="center"/>
    </xf>
    <xf numFmtId="0" fontId="1" fillId="0" borderId="0" xfId="0" applyFont="1"/>
    <xf numFmtId="43" fontId="1" fillId="0" borderId="0" xfId="0" applyNumberFormat="1" applyFont="1"/>
    <xf numFmtId="0" fontId="15" fillId="0" borderId="0" xfId="0" applyFont="1"/>
    <xf numFmtId="0" fontId="1" fillId="0" borderId="0" xfId="0" applyFont="1"/>
    <xf numFmtId="0" fontId="1" fillId="0" borderId="1" xfId="0" applyFont="1" applyBorder="1" applyAlignment="1">
      <alignment horizontal="left"/>
    </xf>
    <xf numFmtId="176" fontId="1" fillId="0" borderId="1" xfId="0" applyNumberFormat="1" applyFont="1" applyBorder="1"/>
    <xf numFmtId="0" fontId="1" fillId="0" borderId="0" xfId="0" applyFont="1" applyAlignment="1">
      <alignment horizontal="left"/>
    </xf>
    <xf numFmtId="176" fontId="1" fillId="0" borderId="0" xfId="0" applyNumberFormat="1" applyFont="1"/>
    <xf numFmtId="0" fontId="1" fillId="0" borderId="1" xfId="0" applyFont="1" applyBorder="1"/>
    <xf numFmtId="43" fontId="1" fillId="0" borderId="1" xfId="0" applyNumberFormat="1" applyFont="1" applyBorder="1"/>
    <xf numFmtId="0" fontId="2" fillId="0" borderId="0" xfId="0" applyFont="1" applyAlignment="1">
      <alignment horizontal="center" vertical="center"/>
    </xf>
    <xf numFmtId="0" fontId="15" fillId="0" borderId="0" xfId="0" applyFont="1" applyAlignment="1">
      <alignment horizontal="center" vertical="center"/>
    </xf>
    <xf numFmtId="0" fontId="1" fillId="0" borderId="0" xfId="0" applyFont="1" applyAlignment="1">
      <alignment horizontal="center" vertical="center"/>
    </xf>
    <xf numFmtId="0" fontId="16" fillId="0" borderId="0" xfId="0" applyFont="1" applyAlignment="1">
      <alignment horizontal="center" vertical="center"/>
    </xf>
    <xf numFmtId="0" fontId="16" fillId="8" borderId="0" xfId="0" applyFont="1" applyFill="1" applyAlignment="1">
      <alignment horizontal="center" vertical="center"/>
    </xf>
    <xf numFmtId="0" fontId="1" fillId="8" borderId="0" xfId="0" applyFont="1" applyFill="1" applyAlignment="1">
      <alignment horizontal="center" vertical="center"/>
    </xf>
    <xf numFmtId="0" fontId="15" fillId="8" borderId="0" xfId="0" applyFont="1" applyFill="1" applyAlignment="1">
      <alignment horizontal="center" vertical="center"/>
    </xf>
    <xf numFmtId="0" fontId="1" fillId="0" borderId="0" xfId="0" applyFont="1" applyAlignment="1">
      <alignment horizontal="center"/>
    </xf>
    <xf numFmtId="44" fontId="1" fillId="0" borderId="0" xfId="0" applyNumberFormat="1" applyFont="1"/>
    <xf numFmtId="0" fontId="3" fillId="3" borderId="0" xfId="0" applyFont="1" applyFill="1"/>
    <xf numFmtId="0" fontId="1" fillId="0" borderId="0" xfId="0" applyFont="1" applyFill="1" applyAlignment="1">
      <alignment horizontal="center"/>
    </xf>
    <xf numFmtId="43" fontId="1" fillId="0" borderId="0" xfId="0" applyNumberFormat="1" applyFont="1" applyAlignment="1">
      <alignment horizontal="center"/>
    </xf>
    <xf numFmtId="0" fontId="1" fillId="0" borderId="0" xfId="0" applyNumberFormat="1" applyFont="1" applyAlignment="1">
      <alignment horizontal="center"/>
    </xf>
    <xf numFmtId="0" fontId="3" fillId="3" borderId="0" xfId="0" applyFont="1" applyFill="1" applyAlignment="1">
      <alignment horizontal="center"/>
    </xf>
    <xf numFmtId="43" fontId="1" fillId="6" borderId="0" xfId="0" applyNumberFormat="1" applyFont="1" applyFill="1" applyBorder="1" applyAlignment="1">
      <alignment vertical="center"/>
    </xf>
    <xf numFmtId="0" fontId="1" fillId="6" borderId="0" xfId="0" applyFont="1" applyFill="1"/>
    <xf numFmtId="43" fontId="1" fillId="0" borderId="0" xfId="0" applyNumberFormat="1" applyFont="1" applyFill="1"/>
    <xf numFmtId="43" fontId="1" fillId="0" borderId="0" xfId="0" applyNumberFormat="1" applyFont="1" applyFill="1" applyBorder="1" applyAlignment="1">
      <alignment vertical="center"/>
    </xf>
    <xf numFmtId="0" fontId="2" fillId="9" borderId="4" xfId="0" applyFont="1" applyFill="1" applyBorder="1" applyAlignment="1">
      <alignment horizontal="center" vertical="center" wrapText="1"/>
    </xf>
    <xf numFmtId="0" fontId="2" fillId="9" borderId="4" xfId="0" applyFont="1" applyFill="1" applyBorder="1" applyAlignment="1">
      <alignment horizontal="center" vertical="center"/>
    </xf>
    <xf numFmtId="43" fontId="2" fillId="9" borderId="4" xfId="0" applyNumberFormat="1" applyFont="1" applyFill="1" applyBorder="1" applyAlignment="1">
      <alignment horizontal="center" vertical="center"/>
    </xf>
    <xf numFmtId="43" fontId="2" fillId="9" borderId="1" xfId="0" applyNumberFormat="1" applyFont="1" applyFill="1" applyBorder="1" applyAlignment="1">
      <alignment horizontal="center" vertical="center"/>
    </xf>
    <xf numFmtId="0" fontId="2" fillId="9" borderId="3" xfId="0" applyFont="1" applyFill="1" applyBorder="1" applyAlignment="1">
      <alignment horizontal="center" vertical="center" wrapText="1"/>
    </xf>
    <xf numFmtId="0" fontId="2" fillId="9" borderId="3" xfId="0" applyFont="1" applyFill="1" applyBorder="1" applyAlignment="1">
      <alignment horizontal="center" vertical="center"/>
    </xf>
    <xf numFmtId="43" fontId="2" fillId="9" borderId="3" xfId="0" applyNumberFormat="1" applyFont="1" applyFill="1" applyBorder="1" applyAlignment="1">
      <alignment horizontal="center" vertical="center"/>
    </xf>
    <xf numFmtId="43" fontId="17" fillId="9" borderId="3" xfId="0" applyNumberFormat="1" applyFont="1" applyFill="1" applyBorder="1" applyAlignment="1">
      <alignment horizontal="center" vertical="center"/>
    </xf>
    <xf numFmtId="43" fontId="18" fillId="9" borderId="3"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xf>
    <xf numFmtId="43" fontId="15"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indent="1"/>
    </xf>
    <xf numFmtId="43" fontId="1" fillId="10" borderId="2" xfId="0" applyNumberFormat="1" applyFont="1" applyFill="1" applyBorder="1" applyAlignment="1">
      <alignment horizontal="center" vertical="center"/>
    </xf>
    <xf numFmtId="43" fontId="19" fillId="0" borderId="2" xfId="0" applyNumberFormat="1" applyFont="1" applyFill="1" applyBorder="1" applyAlignment="1">
      <alignment horizontal="center" vertical="center"/>
    </xf>
    <xf numFmtId="43" fontId="20" fillId="0" borderId="2" xfId="0" applyNumberFormat="1" applyFont="1" applyFill="1" applyBorder="1" applyAlignment="1">
      <alignment horizontal="center" vertical="center"/>
    </xf>
    <xf numFmtId="43" fontId="1" fillId="6"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3" fontId="2" fillId="0" borderId="2" xfId="0" applyNumberFormat="1" applyFont="1" applyFill="1" applyBorder="1" applyAlignment="1">
      <alignment horizontal="center" vertical="center"/>
    </xf>
    <xf numFmtId="43" fontId="17" fillId="0" borderId="2" xfId="0" applyNumberFormat="1" applyFont="1" applyFill="1" applyBorder="1" applyAlignment="1">
      <alignment horizontal="center" vertical="center"/>
    </xf>
    <xf numFmtId="43" fontId="18" fillId="0" borderId="2" xfId="0" applyNumberFormat="1" applyFont="1" applyFill="1" applyBorder="1" applyAlignment="1">
      <alignment horizontal="center" vertical="center"/>
    </xf>
    <xf numFmtId="43" fontId="21" fillId="0" borderId="2" xfId="0" applyNumberFormat="1" applyFont="1" applyFill="1" applyBorder="1" applyAlignment="1">
      <alignment horizontal="center" vertical="center"/>
    </xf>
    <xf numFmtId="43" fontId="16" fillId="0" borderId="2" xfId="0" applyNumberFormat="1" applyFont="1" applyFill="1" applyBorder="1" applyAlignment="1">
      <alignment horizontal="center" vertical="center"/>
    </xf>
    <xf numFmtId="43" fontId="1" fillId="0" borderId="2" xfId="0" applyNumberFormat="1" applyFont="1" applyFill="1" applyBorder="1" applyAlignment="1">
      <alignment horizontal="center" vertical="center"/>
    </xf>
    <xf numFmtId="0" fontId="1" fillId="0" borderId="2" xfId="0" applyFont="1" applyFill="1" applyBorder="1" applyAlignment="1">
      <alignment horizontal="left" vertical="center"/>
    </xf>
    <xf numFmtId="0" fontId="16" fillId="0" borderId="2" xfId="0" applyFont="1" applyFill="1" applyBorder="1" applyAlignment="1">
      <alignment horizontal="center" vertical="center"/>
    </xf>
    <xf numFmtId="180"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0" fontId="1" fillId="0" borderId="2" xfId="0" applyFont="1" applyFill="1" applyBorder="1" applyAlignment="1">
      <alignment horizontal="left" vertical="center" indent="2"/>
    </xf>
    <xf numFmtId="0" fontId="1" fillId="0" borderId="2" xfId="0" applyFont="1" applyBorder="1" applyAlignment="1">
      <alignment horizontal="left" vertical="center" indent="1"/>
    </xf>
    <xf numFmtId="43" fontId="1" fillId="0" borderId="2" xfId="0" applyNumberFormat="1" applyFont="1" applyBorder="1" applyAlignment="1">
      <alignment horizontal="center" vertical="center"/>
    </xf>
    <xf numFmtId="43" fontId="19" fillId="0" borderId="2" xfId="0" applyNumberFormat="1" applyFont="1" applyBorder="1" applyAlignment="1">
      <alignment horizontal="center" vertical="center"/>
    </xf>
    <xf numFmtId="43" fontId="20" fillId="0" borderId="2" xfId="0" applyNumberFormat="1" applyFont="1" applyBorder="1" applyAlignment="1">
      <alignment horizontal="center" vertical="center"/>
    </xf>
    <xf numFmtId="0" fontId="2" fillId="0" borderId="0" xfId="0" applyFont="1" applyFill="1"/>
    <xf numFmtId="44" fontId="2" fillId="9" borderId="3" xfId="0" applyNumberFormat="1" applyFont="1" applyFill="1" applyBorder="1" applyAlignment="1">
      <alignment horizontal="center" vertical="center"/>
    </xf>
    <xf numFmtId="44" fontId="21" fillId="0" borderId="2" xfId="0" applyNumberFormat="1" applyFont="1" applyFill="1" applyBorder="1" applyAlignment="1">
      <alignment horizontal="center" vertical="center"/>
    </xf>
    <xf numFmtId="44" fontId="1" fillId="0" borderId="2" xfId="0" applyNumberFormat="1" applyFont="1" applyBorder="1" applyAlignment="1">
      <alignment horizontal="center" vertical="center"/>
    </xf>
    <xf numFmtId="44" fontId="21" fillId="0" borderId="2" xfId="0" applyNumberFormat="1" applyFont="1" applyBorder="1" applyAlignment="1">
      <alignment horizontal="center" vertical="center"/>
    </xf>
    <xf numFmtId="0" fontId="1" fillId="11" borderId="2" xfId="6" applyNumberFormat="1" applyFont="1" applyFill="1" applyBorder="1" applyAlignment="1">
      <alignment horizontal="center" vertical="center"/>
    </xf>
    <xf numFmtId="9" fontId="1" fillId="12" borderId="2" xfId="0" applyNumberFormat="1" applyFont="1" applyFill="1" applyBorder="1" applyAlignment="1">
      <alignment horizontal="center" vertical="center"/>
    </xf>
    <xf numFmtId="0" fontId="1" fillId="0" borderId="2" xfId="0" applyFont="1" applyBorder="1" applyAlignment="1">
      <alignment horizontal="center" vertical="center"/>
    </xf>
    <xf numFmtId="0" fontId="16" fillId="0" borderId="2" xfId="0" applyFont="1" applyBorder="1" applyAlignment="1">
      <alignment horizontal="center" vertical="center"/>
    </xf>
    <xf numFmtId="0" fontId="22" fillId="12" borderId="2" xfId="0" applyFont="1" applyFill="1" applyBorder="1" applyAlignment="1">
      <alignment horizontal="center" vertical="center"/>
    </xf>
    <xf numFmtId="0" fontId="1" fillId="0" borderId="2" xfId="0" applyFont="1" applyBorder="1" applyAlignment="1">
      <alignment horizontal="left" vertical="center"/>
    </xf>
    <xf numFmtId="0" fontId="1" fillId="0" borderId="0" xfId="0" applyFont="1" applyFill="1" applyBorder="1" applyAlignment="1">
      <alignment horizontal="left" vertical="center" indent="1"/>
    </xf>
    <xf numFmtId="0" fontId="15" fillId="0" borderId="0" xfId="0" applyFont="1" applyAlignment="1">
      <alignment horizontal="left" vertical="center"/>
    </xf>
    <xf numFmtId="43" fontId="23" fillId="0" borderId="2" xfId="0" applyNumberFormat="1" applyFont="1" applyFill="1" applyBorder="1" applyAlignment="1">
      <alignment horizontal="center" vertical="center"/>
    </xf>
    <xf numFmtId="0" fontId="15" fillId="8" borderId="2" xfId="0" applyFont="1" applyFill="1" applyBorder="1" applyAlignment="1">
      <alignment horizontal="center" vertical="center"/>
    </xf>
    <xf numFmtId="0" fontId="15" fillId="8" borderId="2" xfId="0" applyFont="1" applyFill="1" applyBorder="1" applyAlignment="1">
      <alignment horizontal="left" vertical="center"/>
    </xf>
    <xf numFmtId="0" fontId="16" fillId="8" borderId="2" xfId="0" applyFont="1" applyFill="1" applyBorder="1" applyAlignment="1">
      <alignment horizontal="center" vertical="center"/>
    </xf>
    <xf numFmtId="43" fontId="16" fillId="8" borderId="2" xfId="0" applyNumberFormat="1" applyFont="1" applyFill="1" applyBorder="1" applyAlignment="1">
      <alignment horizontal="center" vertical="center"/>
    </xf>
    <xf numFmtId="0" fontId="1" fillId="8" borderId="2" xfId="0" applyFont="1" applyFill="1" applyBorder="1" applyAlignment="1">
      <alignment horizontal="center" vertical="center"/>
    </xf>
    <xf numFmtId="0" fontId="2" fillId="8" borderId="2" xfId="0" applyFont="1" applyFill="1" applyBorder="1" applyAlignment="1">
      <alignment horizontal="left" vertical="center"/>
    </xf>
    <xf numFmtId="43" fontId="1" fillId="8" borderId="2" xfId="0" applyNumberFormat="1" applyFont="1" applyFill="1" applyBorder="1" applyAlignment="1">
      <alignment horizontal="center" vertical="center"/>
    </xf>
    <xf numFmtId="43" fontId="15" fillId="8" borderId="2" xfId="0" applyNumberFormat="1" applyFont="1" applyFill="1" applyBorder="1" applyAlignment="1">
      <alignment horizontal="center" vertical="center"/>
    </xf>
    <xf numFmtId="43" fontId="1" fillId="0" borderId="2" xfId="0" applyNumberFormat="1"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xf>
    <xf numFmtId="43" fontId="1" fillId="0" borderId="3" xfId="0" applyNumberFormat="1" applyFont="1" applyBorder="1" applyAlignment="1">
      <alignment horizontal="center" vertical="center"/>
    </xf>
    <xf numFmtId="43" fontId="1" fillId="0" borderId="0" xfId="0" applyNumberFormat="1" applyFont="1" applyAlignment="1">
      <alignment horizontal="center" vertical="center"/>
    </xf>
    <xf numFmtId="44" fontId="15" fillId="8" borderId="2" xfId="0" applyNumberFormat="1" applyFont="1" applyFill="1" applyBorder="1" applyAlignment="1">
      <alignment horizontal="center" vertical="center"/>
    </xf>
    <xf numFmtId="44" fontId="2" fillId="8" borderId="2" xfId="0" applyNumberFormat="1" applyFont="1" applyFill="1" applyBorder="1" applyAlignment="1">
      <alignment horizontal="center" vertical="center"/>
    </xf>
    <xf numFmtId="44" fontId="20" fillId="0" borderId="2" xfId="0" applyNumberFormat="1" applyFont="1" applyBorder="1" applyAlignment="1">
      <alignment horizontal="center" vertical="center"/>
    </xf>
    <xf numFmtId="9" fontId="24" fillId="0" borderId="3" xfId="6" applyFont="1" applyBorder="1" applyAlignment="1">
      <alignment horizontal="right" vertical="center"/>
    </xf>
    <xf numFmtId="44" fontId="1" fillId="0" borderId="0" xfId="0" applyNumberFormat="1" applyFont="1" applyAlignment="1">
      <alignment horizontal="center" vertical="center"/>
    </xf>
  </cellXfs>
  <cellStyles count="50">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40% - Accent4" xfId="43" builtinId="43"/>
    <cellStyle name="Accent5" xfId="44" builtinId="45"/>
    <cellStyle name="40% - Accent5" xfId="45" builtinId="47"/>
    <cellStyle name="60% - Accent5" xfId="46" builtinId="48"/>
    <cellStyle name="Accent6" xfId="47" builtinId="49"/>
    <cellStyle name="40% - Accent6" xfId="48" builtinId="51"/>
    <cellStyle name="60% - Accent6" xfId="49" builtinId="52"/>
  </cellStyles>
  <dxfs count="202">
    <dxf>
      <numFmt numFmtId="43" formatCode="_(* #,##0.00_);_(* \(#,##0.00\);_(* &quot;-&quot;??_);_(@_)"/>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sz val="11"/>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0"/>
      </font>
    </dxf>
    <dxf>
      <numFmt numFmtId="176" formatCode="_(* #,##0.000_);_(* \(#,##0.000\);_(* &quot;-&quot;???_);_(@_)"/>
    </dxf>
    <dxf>
      <numFmt numFmtId="176" formatCode="_(* #,##0.000_);_(* \(#,##0.000\);_(* &quot;-&quot;???_);_(@_)"/>
    </dxf>
    <dxf>
      <numFmt numFmtId="176" formatCode="_(* #,##0.000_);_(* \(#,##0.000\);_(* &quot;-&quot;???_);_(@_)"/>
    </dxf>
    <dxf>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sz val="11"/>
      </font>
    </dxf>
    <dxf>
      <font>
        <sz val="11"/>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numFmt numFmtId="43" formatCode="_(* #,##0.00_);_(* \(#,##0.00\);_(* &quot;-&quot;??_);_(@_)"/>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sz val="11"/>
      </font>
    </dxf>
    <dxf>
      <font>
        <sz val="11"/>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numFmt numFmtId="43" formatCode="_(* #,##0.00_);_(* \(#,##0.00\);_(* &quot;-&quot;??_);_(@_)"/>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sz val="11"/>
      </font>
    </dxf>
    <dxf>
      <font>
        <sz val="11"/>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numFmt numFmtId="43" formatCode="_(* #,##0.00_);_(* \(#,##0.00\);_(* &quot;-&quot;??_);_(@_)"/>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sz val="11"/>
      </font>
    </dxf>
    <dxf>
      <font>
        <sz val="11"/>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numFmt numFmtId="43" formatCode="_(* #,##0.00_);_(* \(#,##0.00\);_(* &quot;-&quot;??_);_(@_)"/>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sz val="11"/>
      </font>
    </dxf>
    <dxf>
      <font>
        <sz val="11"/>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colors>
    <mruColors>
      <color rgb="000000FF"/>
      <color rgb="00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107714</xdr:colOff>
      <xdr:row>0</xdr:row>
      <xdr:rowOff>58617</xdr:rowOff>
    </xdr:from>
    <xdr:to>
      <xdr:col>9</xdr:col>
      <xdr:colOff>1049215</xdr:colOff>
      <xdr:row>2</xdr:row>
      <xdr:rowOff>241789</xdr:rowOff>
    </xdr:to>
    <xdr:pic>
      <xdr:nvPicPr>
        <xdr:cNvPr id="3" name="Picture 2"/>
        <xdr:cNvPicPr>
          <a:picLocks noChangeAspect="1" noChangeArrowheads="1"/>
        </xdr:cNvPicPr>
      </xdr:nvPicPr>
      <xdr:blipFill>
        <a:blip r:embed="rId1">
          <a:extLst>
            <a:ext uri="{28A0092B-C50C-407E-A947-70E740481C1C}">
              <a14:useLocalDpi xmlns:a14="http://schemas.microsoft.com/office/drawing/2010/main" val="0"/>
            </a:ext>
          </a:extLst>
        </a:blip>
        <a:srcRect l="20697" r="27833" b="52414"/>
        <a:stretch>
          <a:fillRect/>
        </a:stretch>
      </xdr:blipFill>
      <xdr:spPr>
        <a:xfrm>
          <a:off x="9422765" y="58420"/>
          <a:ext cx="941705" cy="735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createdVersion="6" refreshedVersion="5" minRefreshableVersion="3" refreshedDate="43082.6880324074" refreshedBy="Rolando F. Gono Jr" recordCount="534">
  <cacheSource type="worksheet">
    <worksheetSource name="SCHEDULE"/>
  </cacheSource>
  <cacheFields count="15">
    <cacheField name="Member" numFmtId="0">
      <sharedItems containsBlank="1" count="65">
        <m/>
        <s v="C1"/>
        <s v="WP1"/>
        <s v="JR1"/>
        <s v="WH1"/>
        <s v="WB2"/>
        <s v="WB1"/>
        <s v="FB1"/>
        <s v="FB"/>
        <s v="BR1"/>
        <s v="BR2"/>
        <s v="B2"/>
        <s v="R4"/>
        <s v="BR3"/>
        <s v="R3"/>
        <s v="JP"/>
        <s v="B4"/>
        <s v="L3"/>
        <s v="L2"/>
        <s v="R2"/>
        <s v="P3"/>
        <s v="P2"/>
        <s v="P1"/>
        <s v="C2"/>
        <s v="C3"/>
        <s v="R11"/>
        <s v="JR2"/>
        <s v="R5"/>
        <s v="BR4"/>
        <s v="WH2"/>
        <s v="R1"/>
        <s v="PH1"/>
        <s v="STUBS"/>
        <s v="OR1"/>
        <s v="BR6"/>
        <s v="FB2"/>
        <s v="B9"/>
        <s v="B10"/>
        <s v="R9"/>
        <s v="L1"/>
        <s v="B6"/>
        <s v="C5"/>
        <s v="BRIDGING"/>
        <s v="R7"/>
        <s v="R10"/>
        <s v="T1"/>
        <s v="WH3"/>
        <s v="R8"/>
        <s v="B7"/>
        <s v="PH2"/>
        <s v="B5"/>
        <s v="BR7"/>
        <s v="P5"/>
        <s v="R6"/>
        <s v="Plate/waste"/>
        <s v="C/Z10012"/>
        <s v="C/Z10015"/>
        <s v="C/Z10019"/>
        <s v="C/Z15012"/>
        <s v="C/Z15015"/>
        <s v="C/Z15019"/>
        <s v="C/Z15024"/>
        <s v="C/Z20015"/>
        <s v="C/Z20019"/>
        <s v="C/Z20024"/>
      </sharedItems>
    </cacheField>
    <cacheField name="Size" numFmtId="0">
      <sharedItems containsBlank="1" count="36">
        <m/>
        <s v="90x90x4 SHS"/>
        <s v="200 PFC"/>
        <s v="89x89x6 SHS"/>
        <s v="150x150x4 SHS"/>
        <s v="75x75x8 EA"/>
        <s v="101.6x6.4 CHS"/>
        <s v="168.3x4.8 CHS"/>
        <s v="310UB32"/>
        <s v="65x65x5 EA"/>
        <s v="200UB25.7"/>
        <s v="150x90x8 UA"/>
        <s v="410UB53.7"/>
        <s v="250UB31.4"/>
        <s v="200C19"/>
        <s v="150C15"/>
        <s v="150x150x6 SHS"/>
        <s v="460UB67.1"/>
        <s v="200UC46.2"/>
        <s v="250 PFC"/>
        <s v="250UB25.7"/>
        <s v="360UB44.7"/>
        <s v="125x125x6 SHS"/>
        <s v="200UB25.4"/>
        <s v="150x150x5 SHS"/>
        <s v="380 PFC"/>
        <s v="152.4x4 CHS"/>
        <s v="250x150x6.0 RHS"/>
        <s v="250 UB 37"/>
        <s v="89x89x5 SHS"/>
        <s v="75x75x5 SHS"/>
        <s v="200x150x6 RHS"/>
        <s v="610UB101"/>
        <s v="C10019"/>
        <s v="125x125x6.0 SHS"/>
        <s v="300 PFC"/>
      </sharedItems>
    </cacheField>
    <cacheField name="Material _x000a_type" numFmtId="0">
      <sharedItems containsBlank="1" count="9">
        <m/>
        <s v="Not in data"/>
        <s v="S"/>
        <s v="T"/>
        <s v="T250P"/>
        <s v="Plate/waste"/>
        <s v="WB"/>
        <s v="DG"/>
        <s v="T7P"/>
      </sharedItems>
    </cacheField>
    <cacheField name="Finish" numFmtId="0">
      <sharedItems containsBlank="1" count="16">
        <m/>
        <s v="INORGANIC ZINC"/>
        <s v="Galv."/>
        <s v="1 COAT"/>
        <s v="2 COAT"/>
        <s v="3 COAT"/>
        <s v="INTERNATIONAL 99"/>
        <s v="Powder Coat"/>
        <s v="Paint 1 coat" u="1"/>
        <s v="Dulux-3 coats" u="1"/>
        <s v="Paint 2 coats" u="1"/>
        <s v="DULUX (3 COAT)" u="1"/>
        <s v="Paint 3 coats" u="1"/>
        <s v="kkk" u="1"/>
        <s v="Purlin" u="1"/>
        <s v="DULUX (2 COAT)" u="1"/>
      </sharedItems>
    </cacheField>
    <cacheField name="Element" numFmtId="0">
      <sharedItems containsString="0" containsBlank="1" containsNumber="1" containsInteger="1" minValue="1" maxValue="1" count="2">
        <m/>
        <n v="1"/>
      </sharedItems>
    </cacheField>
    <cacheField name="Count" numFmtId="0">
      <sharedItems containsString="0" containsBlank="1" containsNumber="1" containsInteger="1" minValue="1" maxValue="56" count="23">
        <m/>
        <n v="1"/>
        <n v="5"/>
        <n v="7"/>
        <n v="4"/>
        <n v="9"/>
        <n v="2"/>
        <n v="21"/>
        <n v="22"/>
        <n v="3"/>
        <n v="11"/>
        <n v="6"/>
        <n v="8"/>
        <n v="16"/>
        <n v="20"/>
        <n v="19"/>
        <n v="30"/>
        <n v="38"/>
        <n v="17"/>
        <n v="18"/>
        <n v="13"/>
        <n v="14"/>
        <n v="56"/>
      </sharedItems>
    </cacheField>
    <cacheField name="Length _x000a_(m)" numFmtId="0">
      <sharedItems containsString="0" containsBlank="1" containsNumber="1" minValue="0.5" maxValue="30.78" count="192">
        <m/>
        <n v="3.5"/>
        <n v="3.7"/>
        <n v="3.9"/>
        <n v="4.2"/>
        <n v="4.6"/>
        <n v="3.51"/>
        <n v="4.32"/>
        <n v="3"/>
        <n v="7.73"/>
        <n v="2.5"/>
        <n v="7.54"/>
        <n v="3.69"/>
        <n v="3.8"/>
        <n v="7.57"/>
        <n v="6.75"/>
        <n v="6"/>
        <n v="5.1"/>
        <n v="7.7"/>
        <n v="20.4"/>
        <n v="1.6"/>
        <n v="4"/>
        <n v="2.4"/>
        <n v="2.3"/>
        <n v="7.5"/>
        <n v="8"/>
        <n v="4.72"/>
        <n v="3.6"/>
        <n v="2.9"/>
        <n v="7.6"/>
        <n v="3.4"/>
        <n v="4.3"/>
        <n v="5.3"/>
        <n v="5"/>
        <n v="5.4"/>
        <n v="5.5"/>
        <n v="6.7"/>
        <n v="7"/>
        <n v="8.1"/>
        <n v="8.5"/>
        <n v="9.8"/>
        <n v="8.2"/>
        <n v="9.4"/>
        <n v="10.4"/>
        <n v="10.3"/>
        <n v="6.4"/>
        <n v="6.6"/>
        <n v="6.9"/>
        <n v="7.2"/>
        <n v="9.5"/>
        <n v="7.1"/>
        <n v="7.9"/>
        <n v="8.3"/>
        <n v="4.1"/>
        <n v="6.2"/>
        <n v="11.3"/>
        <n v="16.7"/>
        <n v="8.34"/>
        <n v="16.8"/>
        <n v="7.97"/>
        <n v="8.4"/>
        <n v="8.46"/>
        <n v="4.28"/>
        <n v="7.32"/>
        <n v="3.81"/>
        <n v="8.28"/>
        <n v="3.1"/>
        <n v="5.6"/>
        <n v="4.9"/>
        <n v="19.5"/>
        <n v="5.94"/>
        <n v="8.75"/>
        <n v="2.94"/>
        <n v="4.22"/>
        <n v="15.1"/>
        <n v="11.9"/>
        <n v="5.78"/>
        <n v="9.7"/>
        <n v="8.8"/>
        <n v="15.4"/>
        <n v="17.5"/>
        <n v="3.3"/>
        <n v="5.72"/>
        <n v="8.7"/>
        <n v="5.82"/>
        <n v="8.9"/>
        <n v="9.1"/>
        <n v="7.3"/>
        <n v="7.4"/>
        <n v="12"/>
        <n v="13.2"/>
        <n v="30.78"/>
        <n v="9.01"/>
        <n v="5.74"/>
        <n v="1.64"/>
        <n v="19.15"/>
        <n v="1.1"/>
        <n v="1.25"/>
        <n v="4.12"/>
        <n v="12.8"/>
        <n v="4.78"/>
        <n v="1.5"/>
        <n v="4.34"/>
        <n v="16.62"/>
        <n v="7.23"/>
        <n v="3.87"/>
        <n v="7.59"/>
        <n v="16.58"/>
        <n v="6.83"/>
        <n v="2.28"/>
        <n v="6.5"/>
        <n v="3.73"/>
        <n v="3.95"/>
        <n v="3.42"/>
        <n v="0.9"/>
        <n v="2.2"/>
        <n v="1.9"/>
        <n v="3.84"/>
        <n v="4.19"/>
        <n v="3.77"/>
        <n v="3.83"/>
        <n v="3.25"/>
        <n v="4.5"/>
        <n v="7.52"/>
        <n v="15.02"/>
        <n v="9.55"/>
        <n v="15.24"/>
        <n v="2.1"/>
        <n v="5.7"/>
        <n v="2.7"/>
        <n v="19"/>
        <n v="9.6"/>
        <n v="9"/>
        <n v="16.6"/>
        <n v="10.1"/>
        <n v="10"/>
        <n v="3.72"/>
        <n v="10.9"/>
        <n v="2"/>
        <n v="15"/>
        <n v="2.8"/>
        <n v="10.6"/>
        <n v="6.1"/>
        <n v="5.55"/>
        <n v="4.41"/>
        <n v="4.23"/>
        <n v="7.95"/>
        <n v="4.4"/>
        <n v="4.7"/>
        <n v="9.91"/>
        <n v="6.24"/>
        <n v="1.2"/>
        <n v="7.72"/>
        <n v="5.75"/>
        <n v="13.4"/>
        <n v="15.51"/>
        <n v="10.5"/>
        <n v="0.8"/>
        <n v="0.5"/>
        <n v="1"/>
        <n v="1.4"/>
        <n v="1.8"/>
        <n v="20.6"/>
        <n v="6.25"/>
        <n v="6.8"/>
        <n v="6.3"/>
        <n v="17.6"/>
        <n v="0.6"/>
        <n v="14.5"/>
        <n v="5.9"/>
        <n v="7.8"/>
        <n v="16.5"/>
        <n v="14.1"/>
        <n v="4.8"/>
        <n v="13.9"/>
        <n v="12.3"/>
        <n v="8.6"/>
        <n v="11.5"/>
        <n v="11.8"/>
        <n v="9.3"/>
        <n v="4.47"/>
        <n v="13"/>
        <n v="10.8"/>
        <n v="11"/>
        <n v="5.2"/>
        <n v="13.3"/>
        <n v="17.4"/>
        <n v="18.5"/>
        <n v="20.8"/>
        <n v="22.8"/>
        <n v="15.7"/>
        <n v="9.9"/>
      </sharedItems>
    </cacheField>
    <cacheField name="Total length_x000a_(m)" numFmtId="43">
      <sharedItems containsString="0" containsBlank="1" containsNumber="1" minValue="0" maxValue="341.6" count="262">
        <m/>
        <n v="3.5"/>
        <n v="3.7"/>
        <n v="3.9"/>
        <n v="4.2"/>
        <n v="17.5"/>
        <n v="27.3"/>
        <n v="16.8"/>
        <n v="4.6"/>
        <n v="33.3"/>
        <n v="3.51"/>
        <n v="4.32"/>
        <n v="6"/>
        <n v="73.71"/>
        <n v="77.22"/>
        <n v="7.73"/>
        <n v="2.5"/>
        <n v="7.54"/>
        <n v="3.69"/>
        <n v="3.8"/>
        <n v="7.6"/>
        <n v="22.71"/>
        <n v="6.75"/>
        <n v="5.1"/>
        <n v="23.1"/>
        <n v="7.8"/>
        <n v="20.4"/>
        <n v="17.6"/>
        <n v="8"/>
        <n v="2.4"/>
        <n v="2.3"/>
        <n v="14"/>
        <n v="15"/>
        <n v="4.72"/>
        <n v="3.6"/>
        <n v="7.7"/>
        <n v="2.9"/>
        <n v="7"/>
        <n v="15.2"/>
        <n v="3.4"/>
        <n v="4.3"/>
        <n v="5.3"/>
        <n v="5"/>
        <n v="5.4"/>
        <n v="5.5"/>
        <n v="6.7"/>
        <n v="8.1"/>
        <n v="8.5"/>
        <n v="9.8"/>
        <n v="8.2"/>
        <n v="9.4"/>
        <n v="10.4"/>
        <n v="10.3"/>
        <n v="6.4"/>
        <n v="6.6"/>
        <n v="13.8"/>
        <n v="7.2"/>
        <n v="19"/>
        <n v="14.2"/>
        <n v="7.1"/>
        <n v="7.9"/>
        <n v="8.3"/>
        <n v="4.1"/>
        <n v="6.2"/>
        <n v="11.3"/>
        <n v="50.1"/>
        <n v="18"/>
        <n v="16.6"/>
        <n v="16.68"/>
        <n v="13.4"/>
        <n v="63.76"/>
        <n v="64.8"/>
        <n v="65.6"/>
        <n v="92.4"/>
        <n v="46.2"/>
        <n v="135.36"/>
        <n v="68.48"/>
        <n v="117.12"/>
        <n v="60.96"/>
        <n v="132.48"/>
        <n v="131.2"/>
        <n v="18.6"/>
        <n v="10.2"/>
        <n v="14.7"/>
        <n v="12.6"/>
        <n v="58.5"/>
        <n v="15.3"/>
        <n v="11.88"/>
        <n v="37.1"/>
        <n v="42.4"/>
        <n v="8.75"/>
        <n v="2.94"/>
        <n v="4.22"/>
        <n v="15.1"/>
        <n v="11.9"/>
        <n v="11.56"/>
        <n v="4.9"/>
        <n v="9.7"/>
        <n v="5.6"/>
        <n v="8.8"/>
        <n v="10.6"/>
        <n v="15.4"/>
        <n v="9.9"/>
        <n v="11.44"/>
        <n v="8.7"/>
        <n v="11.64"/>
        <n v="35.6"/>
        <n v="18.2"/>
        <n v="18.8"/>
        <n v="16"/>
        <n v="16.2"/>
        <n v="14.6"/>
        <n v="14.8"/>
        <n v="12"/>
        <n v="32"/>
        <n v="105.6"/>
        <n v="250.8"/>
        <n v="226.6"/>
        <n v="156.8"/>
        <n v="30.78"/>
        <n v="9.01"/>
        <n v="5.74"/>
        <n v="1.64"/>
        <n v="19.15"/>
        <n v="1.1"/>
        <n v="1.25"/>
        <n v="4.12"/>
        <n v="12.8"/>
        <n v="4.78"/>
        <n v="45"/>
        <n v="4.34"/>
        <n v="16.62"/>
        <n v="7.23"/>
        <n v="3.87"/>
        <n v="7.59"/>
        <n v="16.58"/>
        <n v="5.88"/>
        <n v="6.83"/>
        <n v="2.28"/>
        <n v="6.5"/>
        <n v="3.73"/>
        <n v="11.85"/>
        <n v="3.42"/>
        <n v="1.8"/>
        <n v="4.4"/>
        <n v="1.9"/>
        <n v="9.1"/>
        <n v="3.84"/>
        <n v="4.19"/>
        <n v="3.77"/>
        <n v="7.57"/>
        <n v="3.83"/>
        <n v="174.8"/>
        <n v="123.5"/>
        <n v="7.52"/>
        <n v="15.02"/>
        <n v="9.55"/>
        <n v="15.24"/>
        <n v="2.2"/>
        <n v="15.6"/>
        <n v="4"/>
        <n v="35.7"/>
        <n v="33.6"/>
        <n v="1.5"/>
        <n v="5.7"/>
        <n v="1.6"/>
        <n v="2.7"/>
        <n v="7.4"/>
        <n v="78.2"/>
        <n v="9.5"/>
        <n v="9.6"/>
        <n v="9"/>
        <n v="3.1"/>
        <n v="13.2"/>
        <n v="6.9"/>
        <n v="9.3"/>
        <n v="10.1"/>
        <n v="8.4"/>
        <n v="13.5"/>
        <n v="90"/>
        <n v="50.4"/>
        <n v="10"/>
        <n v="7.5"/>
        <n v="14.4"/>
        <n v="7.44"/>
        <n v="10.9"/>
        <n v="2"/>
        <n v="19.4"/>
        <n v="2.8"/>
        <n v="20"/>
        <n v="6.1"/>
        <n v="27"/>
        <n v="72.15"/>
        <n v="57.33"/>
        <n v="78"/>
        <n v="54.99"/>
        <n v="103.35"/>
        <n v="115.7"/>
        <n v="57.2"/>
        <n v="49.4"/>
        <n v="61.1"/>
        <n v="128.83"/>
        <n v="111"/>
        <n v="88.2"/>
        <n v="120"/>
        <n v="84.6"/>
        <n v="159"/>
        <n v="178"/>
        <n v="88"/>
        <n v="76"/>
        <n v="94"/>
        <n v="198.2"/>
        <n v="56.16"/>
        <n v="21"/>
        <n v="10.8"/>
        <n v="37.5"/>
        <n v="1.2"/>
        <n v="7.72"/>
        <n v="5.75"/>
        <n v="3"/>
        <n v="15.51"/>
        <n v="10.5"/>
        <n v="0.5"/>
        <n v="16.5"/>
        <n v="4.7"/>
        <n v="20.6"/>
        <n v="6.25"/>
        <n v="6.8"/>
        <n v="23.5"/>
        <n v="6.3"/>
        <n v="11.1"/>
        <n v="14.5"/>
        <n v="11.8"/>
        <n v="341.6"/>
        <n v="3.3"/>
        <n v="14.1"/>
        <n v="4.8"/>
        <n v="13.9"/>
        <n v="12.3"/>
        <n v="8.6"/>
        <n v="11.5"/>
        <n v="4.47"/>
        <n v="13"/>
        <n v="11"/>
        <n v="5.2"/>
        <n v="4.5"/>
        <n v="7.3"/>
        <n v="17.1"/>
        <n v="153.9"/>
        <n v="115.9"/>
        <n v="131.1"/>
        <n v="138.7"/>
        <n v="184"/>
        <n v="123.2"/>
        <n v="112"/>
        <n v="212.8"/>
        <n v="17.4"/>
        <n v="18.5"/>
        <n v="20.8"/>
        <n v="22.8"/>
        <n v="15.7"/>
        <n v="0"/>
      </sharedItems>
    </cacheField>
    <cacheField name="Weight/m" numFmtId="43">
      <sharedItems containsBlank="1" containsNumber="1" containsMixedTypes="1" count="27">
        <m/>
        <s v="Not in weight table"/>
        <n v="22.9"/>
        <n v="14.6"/>
        <n v="17.9"/>
        <n v="8.73"/>
        <n v="19.4"/>
        <n v="32"/>
        <n v="4.56"/>
        <n v="14.3"/>
        <n v="53.7"/>
        <n v="31.4"/>
        <n v="26.2"/>
        <n v="67.1"/>
        <n v="46.2"/>
        <n v="35.5"/>
        <n v="25.7"/>
        <n v="44.7"/>
        <n v="21.4"/>
        <n v="22.1"/>
        <n v="55.2"/>
        <n v="35.6"/>
        <n v="37.3"/>
        <n v="12.5"/>
        <n v="10.3"/>
        <n v="101"/>
        <n v="40.1"/>
      </sharedItems>
    </cacheField>
    <cacheField name="Area/m" numFmtId="43">
      <sharedItems containsBlank="1" containsNumber="1" containsMixedTypes="1" count="27">
        <m/>
        <s v="Not in weight table"/>
        <n v="0.668"/>
        <n v="0.33"/>
        <n v="0.583"/>
        <n v="0.292"/>
        <n v="0.529"/>
        <n v="1.16"/>
        <n v="0.255"/>
        <n v="0.471"/>
        <n v="1.48"/>
        <n v="1.06"/>
        <n v="0.574"/>
        <n v="1.63"/>
        <n v="1.19"/>
        <n v="0.822"/>
        <n v="0.961"/>
        <n v="1.36"/>
        <n v="0.474"/>
        <n v="0.579"/>
        <n v="1.12"/>
        <n v="0.8"/>
        <n v="1.07"/>
        <n v="0.334"/>
        <n v="0.279"/>
        <n v="2.07"/>
        <n v="0.92"/>
      </sharedItems>
    </cacheField>
    <cacheField name="Total weight_x000a_(Ton)" numFmtId="0">
      <sharedItems containsString="0" containsBlank="1" containsNumber="1" minValue="0" maxValue="9.6116358" count="274">
        <m/>
        <n v="0"/>
        <n v="0.1374"/>
        <n v="1.076166"/>
        <n v="0.0876"/>
        <n v="0.138367"/>
        <n v="0.04475"/>
        <n v="0.06981"/>
        <n v="0.134966"/>
        <n v="0.066051"/>
        <n v="0.06802"/>
        <n v="0.11096"/>
        <n v="0.520059"/>
        <n v="0.154575"/>
        <n v="0.11679"/>
        <n v="0.52899"/>
        <n v="0.17862"/>
        <n v="0.46716"/>
        <n v="0.153648"/>
        <n v="0.2716"/>
        <n v="0.291"/>
        <n v="0.07372"/>
        <n v="0.04462"/>
        <n v="0.1552"/>
        <n v="0.1216"/>
        <n v="0.15104"/>
        <n v="0.1152"/>
        <n v="0.2464"/>
        <n v="0.0928"/>
        <n v="0.1253"/>
        <n v="0.27208"/>
        <n v="0.06444"/>
        <n v="0.07786"/>
        <n v="0.09847"/>
        <n v="0.12137"/>
        <n v="0.0228"/>
        <n v="0.016416"/>
        <n v="0.024624"/>
        <n v="0.02508"/>
        <n v="0.030552"/>
        <n v="0.03192"/>
        <n v="0.03648"/>
        <n v="0.036936"/>
        <n v="0.03876"/>
        <n v="0.044688"/>
        <n v="0.037392"/>
        <n v="0.042864"/>
        <n v="0.047424"/>
        <n v="0.046968"/>
        <n v="0.029184"/>
        <n v="0.030096"/>
        <n v="0.062928"/>
        <n v="0.032832"/>
        <n v="0.08664"/>
        <n v="0.064752"/>
        <n v="0.032376"/>
        <n v="0.036024"/>
        <n v="0.4122"/>
        <n v="0.0858"/>
        <n v="0.3222"/>
        <n v="0.38014"/>
        <n v="0.381972"/>
        <n v="0.3206"/>
        <n v="0.19162"/>
        <n v="0.52752"/>
        <n v="0.38514"/>
        <n v="0.33012"/>
        <n v="0.19912"/>
        <n v="0.13886"/>
        <n v="3.92535"/>
        <n v="0.70686"/>
        <n v="0.212652"/>
        <n v="0.97202"/>
        <n v="0.16975"/>
        <n v="0.042924"/>
        <n v="0.061612"/>
        <n v="0.53605"/>
        <n v="0.38807"/>
        <n v="0.14308"/>
        <n v="0.21301"/>
        <n v="0.206924"/>
        <n v="0.43359"/>
        <n v="0.11242"/>
        <n v="0.18504"/>
        <n v="0.14392"/>
        <n v="0.26471"/>
        <n v="0.15038"/>
        <n v="0.18974"/>
        <n v="0.68838"/>
        <n v="0.78225"/>
        <n v="0.039672"/>
        <n v="0.162336"/>
        <n v="0.080256"/>
        <n v="0.082992"/>
        <n v="0.085728"/>
        <n v="0.07296"/>
        <n v="0.073872"/>
        <n v="0.066576"/>
        <n v="0.067488"/>
        <n v="0.2748"/>
        <n v="0.27936"/>
        <n v="0.658692"/>
        <n v="0.192814"/>
        <n v="0.122836"/>
        <n v="0.035096"/>
        <n v="0.40981"/>
        <n v="0.02354"/>
        <n v="0.02675"/>
        <n v="0.088168"/>
        <n v="0.27392"/>
        <n v="0.102292"/>
        <n v="0.657"/>
        <n v="0.427134"/>
        <n v="0.14198"/>
        <n v="0.165567"/>
        <n v="0.088623"/>
        <n v="0.173811"/>
        <n v="0.426106"/>
        <n v="0.150943"/>
        <n v="0.052212"/>
        <n v="0.14885"/>
        <n v="0.04351"/>
        <n v="0.087936"/>
        <n v="0.095951"/>
        <n v="0.086333"/>
        <n v="0.20839"/>
        <n v="0.173353"/>
        <n v="0.087707"/>
        <n v="0.134608"/>
        <n v="0.268858"/>
        <n v="0.170945"/>
        <n v="0.272796"/>
        <n v="0.13783"/>
        <n v="0.05694"/>
        <n v="0.03212"/>
        <n v="0.22776"/>
        <n v="0.03504"/>
        <n v="0.0584"/>
        <n v="0.28152"/>
        <n v="0.63903"/>
        <n v="0.49056"/>
        <n v="0.0219"/>
        <n v="0.0949"/>
        <n v="0.10203"/>
        <n v="0.08931"/>
        <n v="0.06183"/>
        <n v="0.08702"/>
        <n v="0.16946"/>
        <n v="0.17633"/>
        <n v="0.12595"/>
        <n v="0.10534"/>
        <n v="0.04332"/>
        <n v="0.043776"/>
        <n v="0.43176"/>
        <n v="0.07099"/>
        <n v="0.18876"/>
        <n v="0.031464"/>
        <n v="0.21297"/>
        <n v="0.42662"/>
        <n v="0.044232"/>
        <n v="0.046056"/>
        <n v="0.15714"/>
        <n v="0.16296"/>
        <n v="1.29528"/>
        <n v="0.0456"/>
        <n v="0.1455"/>
        <n v="0.065664"/>
        <n v="0.1074"/>
        <n v="0.049704"/>
        <n v="0.5325"/>
        <n v="0.09585"/>
        <n v="0.6887"/>
        <n v="0.0994"/>
        <n v="0.18327"/>
        <n v="0.0912"/>
        <n v="0.1349"/>
        <n v="0.43806"/>
        <n v="0.18774"/>
        <n v="0.1988"/>
        <n v="0.035112"/>
        <n v="0.048336"/>
        <n v="0.027816"/>
        <n v="0.11098"/>
        <n v="0.23571"/>
        <n v="0.229"/>
        <n v="0.04272"/>
        <n v="0.27412"/>
        <n v="0.1424"/>
        <n v="0.28755"/>
        <n v="0.112712"/>
        <n v="0.127075"/>
        <n v="0.1095"/>
        <n v="0.28676"/>
        <n v="0.23872"/>
        <n v="0.193875"/>
        <n v="0.0675"/>
        <n v="0.13125"/>
        <n v="0.01648"/>
        <n v="0.00515"/>
        <n v="0.0206"/>
        <n v="0.01236"/>
        <n v="0.2163"/>
        <n v="0.18746"/>
        <n v="0.01957"/>
        <n v="0.06592"/>
        <n v="0.01854"/>
        <n v="0.16685"/>
        <n v="0.14555"/>
        <n v="0.26344"/>
        <n v="0.25205"/>
        <n v="0.13246"/>
        <n v="0.12155"/>
        <n v="0.1533"/>
        <n v="0.44084"/>
        <n v="0.1649"/>
        <n v="0.11277"/>
        <n v="0.12709"/>
        <n v="0.11456"/>
        <n v="0.12351"/>
        <n v="1.7776"/>
        <n v="0.01752"/>
        <n v="0.07446"/>
        <n v="1.4645"/>
        <n v="0.6464"/>
        <n v="0.4189"/>
        <n v="0.34476"/>
        <n v="0.3315"/>
        <n v="0.19227"/>
        <n v="0.1547"/>
        <n v="0.06014"/>
        <n v="0.10295"/>
        <n v="0.0438"/>
        <n v="0.031008"/>
        <n v="0.037848"/>
        <n v="0.07557"/>
        <n v="0.14427"/>
        <n v="0.38808"/>
        <n v="0.63027"/>
        <n v="0.11221"/>
        <n v="0.18549"/>
        <n v="0.16488"/>
        <n v="0.14656"/>
        <n v="0.15114"/>
        <n v="0.12366"/>
        <n v="0.19007"/>
        <n v="0.17175"/>
        <n v="0.09389"/>
        <n v="0.19248"/>
        <n v="0.10025"/>
        <n v="0.063384"/>
        <n v="0.056088"/>
        <n v="0.16102"/>
        <n v="0.19694"/>
        <n v="0.53193"/>
        <n v="0.23691"/>
        <n v="0.051528"/>
        <n v="0.05244"/>
        <n v="0.053808"/>
        <n v="0.054264"/>
        <n v="0.042408"/>
        <n v="0.28872"/>
        <n v="0.35435"/>
        <n v="0.52746"/>
        <n v="0.05928"/>
        <n v="0.049248"/>
        <n v="0.09223"/>
        <n v="0.13634"/>
        <n v="0.4917"/>
        <n v="0.035568"/>
        <n v="0.0342"/>
        <n v="0.019152"/>
        <n v="0.07592"/>
        <n v="0.0657"/>
        <n v="9.6116358"/>
      </sharedItems>
    </cacheField>
    <cacheField name="Total area_x000a_(m2)" numFmtId="0">
      <sharedItems containsString="0" containsBlank="1" containsNumber="1" minValue="0" maxValue="279.6836175" count="271">
        <m/>
        <n v="0"/>
        <n v="4.008"/>
        <n v="24.3243"/>
        <n v="1.98"/>
        <n v="4.50659"/>
        <n v="1.4575"/>
        <n v="2.2737"/>
        <n v="4.39582"/>
        <n v="2.15127"/>
        <n v="2.2154"/>
        <n v="2.508"/>
        <n v="15.17028"/>
        <n v="4.509"/>
        <n v="3.4068"/>
        <n v="15.4308"/>
        <n v="5.2104"/>
        <n v="13.6272"/>
        <n v="5.1392"/>
        <n v="7.406"/>
        <n v="7.935"/>
        <n v="2.0102"/>
        <n v="1.2167"/>
        <n v="4.232"/>
        <n v="4.408"/>
        <n v="5.4752"/>
        <n v="4.176"/>
        <n v="8.932"/>
        <n v="3.364"/>
        <n v="4.081"/>
        <n v="8.8616"/>
        <n v="2.0988"/>
        <n v="2.2712"/>
        <n v="2.8724"/>
        <n v="3.5404"/>
        <n v="1.275"/>
        <n v="0.918"/>
        <n v="1.377"/>
        <n v="1.4025"/>
        <n v="1.7085"/>
        <n v="1.785"/>
        <n v="2.04"/>
        <n v="2.0655"/>
        <n v="2.1675"/>
        <n v="2.499"/>
        <n v="2.091"/>
        <n v="2.397"/>
        <n v="2.652"/>
        <n v="2.6265"/>
        <n v="1.632"/>
        <n v="1.683"/>
        <n v="3.519"/>
        <n v="1.836"/>
        <n v="4.845"/>
        <n v="3.621"/>
        <n v="1.8105"/>
        <n v="2.0145"/>
        <n v="12.024"/>
        <n v="2.826"/>
        <n v="8.88"/>
        <n v="11.0888"/>
        <n v="11.14224"/>
        <n v="9.352"/>
        <n v="6.3114"/>
        <n v="17.808"/>
        <n v="8.4378"/>
        <n v="7.2324"/>
        <n v="4.3624"/>
        <n v="3.0422"/>
        <n v="95.355"/>
        <n v="18.207"/>
        <n v="6.92604"/>
        <n v="21.2954"/>
        <n v="4.62875"/>
        <n v="0.9702"/>
        <n v="1.3926"/>
        <n v="12.4122"/>
        <n v="14.5111"/>
        <n v="3.234"/>
        <n v="6.9377"/>
        <n v="6.73948"/>
        <n v="13.192"/>
        <n v="2.541"/>
        <n v="6.9192"/>
        <n v="5.3816"/>
        <n v="9.8983"/>
        <n v="3.399"/>
        <n v="6.1798"/>
        <n v="20.944"/>
        <n v="23.8"/>
        <n v="2.2185"/>
        <n v="9.078"/>
        <n v="4.488"/>
        <n v="4.641"/>
        <n v="4.794"/>
        <n v="4.08"/>
        <n v="4.131"/>
        <n v="3.723"/>
        <n v="3.774"/>
        <n v="8.016"/>
        <n v="9.344"/>
        <n v="14.58972"/>
        <n v="4.27074"/>
        <n v="2.72076"/>
        <n v="0.77736"/>
        <n v="9.0771"/>
        <n v="0.5214"/>
        <n v="0.5925"/>
        <n v="1.95288"/>
        <n v="6.0672"/>
        <n v="2.26572"/>
        <n v="14.85"/>
        <n v="15.97182"/>
        <n v="4.1416"/>
        <n v="4.82964"/>
        <n v="2.58516"/>
        <n v="5.07012"/>
        <n v="15.93338"/>
        <n v="3.95457"/>
        <n v="1.52304"/>
        <n v="4.342"/>
        <n v="1.2692"/>
        <n v="2.56512"/>
        <n v="2.79892"/>
        <n v="2.51836"/>
        <n v="6.0788"/>
        <n v="5.05676"/>
        <n v="2.55844"/>
        <n v="4.38416"/>
        <n v="8.75666"/>
        <n v="5.56765"/>
        <n v="8.88492"/>
        <n v="4.4891"/>
        <n v="1.287"/>
        <n v="0.726"/>
        <n v="5.148"/>
        <n v="0.792"/>
        <n v="1.32"/>
        <n v="5.712"/>
        <n v="20.8131"/>
        <n v="11.088"/>
        <n v="0.495"/>
        <n v="2.145"/>
        <n v="3.3231"/>
        <n v="2.6052"/>
        <n v="1.8036"/>
        <n v="2.5384"/>
        <n v="4.9432"/>
        <n v="5.1436"/>
        <n v="3.674"/>
        <n v="3.0728"/>
        <n v="2.4225"/>
        <n v="2.448"/>
        <n v="16.1448"/>
        <n v="2.0708"/>
        <n v="6.2172"/>
        <n v="1.7595"/>
        <n v="6.2124"/>
        <n v="15.9526"/>
        <n v="2.4735"/>
        <n v="2.5755"/>
        <n v="4.2849"/>
        <n v="4.4436"/>
        <n v="48.4344"/>
        <n v="2.55"/>
        <n v="3.9675"/>
        <n v="3.672"/>
        <n v="3.498"/>
        <n v="2.7795"/>
        <n v="12.33"/>
        <n v="2.2194"/>
        <n v="15.9468"/>
        <n v="2.3016"/>
        <n v="5.576"/>
        <n v="5.1"/>
        <n v="3.1236"/>
        <n v="13.328"/>
        <n v="4.6032"/>
        <n v="1.9635"/>
        <n v="2.703"/>
        <n v="1.5555"/>
        <n v="3.6146"/>
        <n v="7.884"/>
        <n v="6.68"/>
        <n v="0.96"/>
        <n v="6.16"/>
        <n v="3.2"/>
        <n v="6.6582"/>
        <n v="2.5476"/>
        <n v="3.32925"/>
        <n v="2.475"/>
        <n v="6.3516"/>
        <n v="6.848"/>
        <n v="5.18034"/>
        <n v="3.507"/>
        <n v="0.4464"/>
        <n v="0.1395"/>
        <n v="0.558"/>
        <n v="0.3348"/>
        <n v="5.859"/>
        <n v="5.0778"/>
        <n v="0.5301"/>
        <n v="1.7856"/>
        <n v="0.5022"/>
        <n v="3.8634"/>
        <n v="3.3702"/>
        <n v="5.92"/>
        <n v="5.8362"/>
        <n v="4.3142"/>
        <n v="3.1845"/>
        <n v="3.465"/>
        <n v="9.7644"/>
        <n v="4.4965"/>
        <n v="3.6729"/>
        <n v="4.1393"/>
        <n v="3.7312"/>
        <n v="4.0227"/>
        <n v="36.432"/>
        <n v="0.396"/>
        <n v="30.015"/>
        <n v="13.248"/>
        <n v="9.6996"/>
        <n v="9.0324"/>
        <n v="8.685"/>
        <n v="5.0373"/>
        <n v="4.053"/>
        <n v="1.6399"/>
        <n v="2.3838"/>
        <n v="0.99"/>
        <n v="1.734"/>
        <n v="2.1165"/>
        <n v="2.2044"/>
        <n v="4.2084"/>
        <n v="9.996"/>
        <n v="19.176"/>
        <n v="3.2732"/>
        <n v="5.4108"/>
        <n v="4.8096"/>
        <n v="4.2752"/>
        <n v="4.4088"/>
        <n v="3.6072"/>
        <n v="5.5444"/>
        <n v="5.01"/>
        <n v="2.7388"/>
        <n v="4.416"/>
        <n v="2.3"/>
        <n v="3.5445"/>
        <n v="3.1365"/>
        <n v="4.3907"/>
        <n v="5.7448"/>
        <n v="16.184"/>
        <n v="7.208"/>
        <n v="2.8815"/>
        <n v="2.9325"/>
        <n v="3.009"/>
        <n v="3.0345"/>
        <n v="2.3715"/>
        <n v="6.624"/>
        <n v="10.165"/>
        <n v="16.048"/>
        <n v="3.315"/>
        <n v="2.754"/>
        <n v="2.116"/>
        <n v="3.128"/>
        <n v="14.96"/>
        <n v="1.989"/>
        <n v="1.9125"/>
        <n v="1.071"/>
        <n v="1.716"/>
        <n v="1.485"/>
        <n v="279.6836175"/>
      </sharedItems>
    </cacheField>
    <cacheField name="Erection" numFmtId="0">
      <sharedItems containsBlank="1" count="5">
        <m/>
        <s v="Standard"/>
        <s v="Simple"/>
        <s v="High"/>
        <s v="SIMPLE / STANDARD / HIGH" u="1"/>
      </sharedItems>
    </cacheField>
    <cacheField name="Processing" numFmtId="0">
      <sharedItems containsBlank="1" count="4">
        <m/>
        <s v="Standard"/>
        <s v="Simple"/>
        <s v="High"/>
      </sharedItems>
    </cacheField>
    <cacheField name="Fabrication" numFmtId="0">
      <sharedItems containsBlank="1" count="6">
        <m/>
        <s v="Standard"/>
        <s v="Simple"/>
        <s v="High1"/>
        <s v="High2"/>
        <s v="High3"/>
      </sharedItems>
    </cacheField>
  </cacheFields>
</pivotCacheDefinition>
</file>

<file path=xl/pivotCache/pivotCacheRecords1.xml><?xml version="1.0" encoding="utf-8"?>
<pivotCacheRecords xmlns="http://schemas.openxmlformats.org/spreadsheetml/2006/main" xmlns:r="http://schemas.openxmlformats.org/officeDocument/2006/relationships" count="534">
  <r>
    <x v="0"/>
    <x v="0"/>
    <x v="0"/>
    <x v="0"/>
    <x v="0"/>
    <x v="0"/>
    <x v="0"/>
    <x v="0"/>
    <x v="0"/>
    <x v="0"/>
    <x v="0"/>
    <x v="0"/>
    <x v="0"/>
    <x v="0"/>
    <x v="0"/>
  </r>
  <r>
    <x v="1"/>
    <x v="1"/>
    <x v="1"/>
    <x v="1"/>
    <x v="1"/>
    <x v="1"/>
    <x v="1"/>
    <x v="1"/>
    <x v="1"/>
    <x v="1"/>
    <x v="1"/>
    <x v="1"/>
    <x v="1"/>
    <x v="1"/>
    <x v="1"/>
  </r>
  <r>
    <x v="1"/>
    <x v="1"/>
    <x v="1"/>
    <x v="1"/>
    <x v="1"/>
    <x v="1"/>
    <x v="2"/>
    <x v="2"/>
    <x v="1"/>
    <x v="1"/>
    <x v="1"/>
    <x v="1"/>
    <x v="1"/>
    <x v="1"/>
    <x v="1"/>
  </r>
  <r>
    <x v="1"/>
    <x v="1"/>
    <x v="1"/>
    <x v="1"/>
    <x v="1"/>
    <x v="1"/>
    <x v="3"/>
    <x v="3"/>
    <x v="1"/>
    <x v="1"/>
    <x v="1"/>
    <x v="1"/>
    <x v="1"/>
    <x v="1"/>
    <x v="1"/>
  </r>
  <r>
    <x v="1"/>
    <x v="1"/>
    <x v="1"/>
    <x v="1"/>
    <x v="1"/>
    <x v="1"/>
    <x v="4"/>
    <x v="4"/>
    <x v="1"/>
    <x v="1"/>
    <x v="1"/>
    <x v="1"/>
    <x v="1"/>
    <x v="1"/>
    <x v="1"/>
  </r>
  <r>
    <x v="1"/>
    <x v="1"/>
    <x v="1"/>
    <x v="1"/>
    <x v="1"/>
    <x v="2"/>
    <x v="1"/>
    <x v="5"/>
    <x v="1"/>
    <x v="1"/>
    <x v="1"/>
    <x v="1"/>
    <x v="1"/>
    <x v="1"/>
    <x v="1"/>
  </r>
  <r>
    <x v="1"/>
    <x v="1"/>
    <x v="1"/>
    <x v="1"/>
    <x v="1"/>
    <x v="3"/>
    <x v="3"/>
    <x v="6"/>
    <x v="1"/>
    <x v="1"/>
    <x v="1"/>
    <x v="1"/>
    <x v="1"/>
    <x v="1"/>
    <x v="1"/>
  </r>
  <r>
    <x v="1"/>
    <x v="1"/>
    <x v="1"/>
    <x v="1"/>
    <x v="1"/>
    <x v="4"/>
    <x v="4"/>
    <x v="7"/>
    <x v="1"/>
    <x v="1"/>
    <x v="1"/>
    <x v="1"/>
    <x v="1"/>
    <x v="1"/>
    <x v="1"/>
  </r>
  <r>
    <x v="1"/>
    <x v="1"/>
    <x v="1"/>
    <x v="1"/>
    <x v="1"/>
    <x v="1"/>
    <x v="5"/>
    <x v="8"/>
    <x v="1"/>
    <x v="1"/>
    <x v="1"/>
    <x v="1"/>
    <x v="1"/>
    <x v="1"/>
    <x v="1"/>
  </r>
  <r>
    <x v="1"/>
    <x v="1"/>
    <x v="1"/>
    <x v="1"/>
    <x v="1"/>
    <x v="5"/>
    <x v="2"/>
    <x v="9"/>
    <x v="1"/>
    <x v="1"/>
    <x v="1"/>
    <x v="1"/>
    <x v="1"/>
    <x v="1"/>
    <x v="1"/>
  </r>
  <r>
    <x v="2"/>
    <x v="1"/>
    <x v="1"/>
    <x v="1"/>
    <x v="1"/>
    <x v="1"/>
    <x v="6"/>
    <x v="10"/>
    <x v="1"/>
    <x v="1"/>
    <x v="1"/>
    <x v="1"/>
    <x v="1"/>
    <x v="1"/>
    <x v="1"/>
  </r>
  <r>
    <x v="2"/>
    <x v="1"/>
    <x v="1"/>
    <x v="1"/>
    <x v="1"/>
    <x v="1"/>
    <x v="7"/>
    <x v="11"/>
    <x v="1"/>
    <x v="1"/>
    <x v="1"/>
    <x v="1"/>
    <x v="1"/>
    <x v="1"/>
    <x v="1"/>
  </r>
  <r>
    <x v="3"/>
    <x v="2"/>
    <x v="2"/>
    <x v="1"/>
    <x v="1"/>
    <x v="6"/>
    <x v="8"/>
    <x v="12"/>
    <x v="2"/>
    <x v="2"/>
    <x v="2"/>
    <x v="2"/>
    <x v="1"/>
    <x v="1"/>
    <x v="1"/>
  </r>
  <r>
    <x v="0"/>
    <x v="0"/>
    <x v="0"/>
    <x v="0"/>
    <x v="0"/>
    <x v="0"/>
    <x v="0"/>
    <x v="0"/>
    <x v="0"/>
    <x v="0"/>
    <x v="0"/>
    <x v="0"/>
    <x v="0"/>
    <x v="0"/>
    <x v="0"/>
  </r>
  <r>
    <x v="2"/>
    <x v="1"/>
    <x v="1"/>
    <x v="1"/>
    <x v="1"/>
    <x v="7"/>
    <x v="6"/>
    <x v="13"/>
    <x v="1"/>
    <x v="1"/>
    <x v="1"/>
    <x v="1"/>
    <x v="1"/>
    <x v="1"/>
    <x v="1"/>
  </r>
  <r>
    <x v="2"/>
    <x v="1"/>
    <x v="1"/>
    <x v="1"/>
    <x v="1"/>
    <x v="8"/>
    <x v="6"/>
    <x v="14"/>
    <x v="1"/>
    <x v="1"/>
    <x v="1"/>
    <x v="1"/>
    <x v="1"/>
    <x v="1"/>
    <x v="1"/>
  </r>
  <r>
    <x v="4"/>
    <x v="3"/>
    <x v="3"/>
    <x v="1"/>
    <x v="1"/>
    <x v="7"/>
    <x v="6"/>
    <x v="13"/>
    <x v="3"/>
    <x v="3"/>
    <x v="3"/>
    <x v="3"/>
    <x v="1"/>
    <x v="1"/>
    <x v="1"/>
  </r>
  <r>
    <x v="4"/>
    <x v="3"/>
    <x v="3"/>
    <x v="1"/>
    <x v="1"/>
    <x v="6"/>
    <x v="8"/>
    <x v="12"/>
    <x v="3"/>
    <x v="3"/>
    <x v="4"/>
    <x v="4"/>
    <x v="1"/>
    <x v="1"/>
    <x v="1"/>
  </r>
  <r>
    <x v="5"/>
    <x v="4"/>
    <x v="3"/>
    <x v="1"/>
    <x v="1"/>
    <x v="1"/>
    <x v="9"/>
    <x v="15"/>
    <x v="4"/>
    <x v="4"/>
    <x v="5"/>
    <x v="5"/>
    <x v="1"/>
    <x v="1"/>
    <x v="1"/>
  </r>
  <r>
    <x v="5"/>
    <x v="4"/>
    <x v="3"/>
    <x v="1"/>
    <x v="1"/>
    <x v="1"/>
    <x v="10"/>
    <x v="16"/>
    <x v="4"/>
    <x v="4"/>
    <x v="6"/>
    <x v="6"/>
    <x v="1"/>
    <x v="1"/>
    <x v="1"/>
  </r>
  <r>
    <x v="5"/>
    <x v="4"/>
    <x v="3"/>
    <x v="1"/>
    <x v="1"/>
    <x v="1"/>
    <x v="3"/>
    <x v="3"/>
    <x v="4"/>
    <x v="4"/>
    <x v="7"/>
    <x v="7"/>
    <x v="1"/>
    <x v="1"/>
    <x v="1"/>
  </r>
  <r>
    <x v="5"/>
    <x v="4"/>
    <x v="3"/>
    <x v="1"/>
    <x v="1"/>
    <x v="1"/>
    <x v="11"/>
    <x v="17"/>
    <x v="4"/>
    <x v="4"/>
    <x v="8"/>
    <x v="8"/>
    <x v="1"/>
    <x v="1"/>
    <x v="1"/>
  </r>
  <r>
    <x v="5"/>
    <x v="4"/>
    <x v="3"/>
    <x v="1"/>
    <x v="1"/>
    <x v="1"/>
    <x v="12"/>
    <x v="18"/>
    <x v="4"/>
    <x v="4"/>
    <x v="9"/>
    <x v="9"/>
    <x v="1"/>
    <x v="1"/>
    <x v="1"/>
  </r>
  <r>
    <x v="5"/>
    <x v="4"/>
    <x v="3"/>
    <x v="1"/>
    <x v="1"/>
    <x v="1"/>
    <x v="13"/>
    <x v="19"/>
    <x v="4"/>
    <x v="4"/>
    <x v="10"/>
    <x v="10"/>
    <x v="1"/>
    <x v="1"/>
    <x v="1"/>
  </r>
  <r>
    <x v="6"/>
    <x v="3"/>
    <x v="3"/>
    <x v="1"/>
    <x v="1"/>
    <x v="6"/>
    <x v="13"/>
    <x v="20"/>
    <x v="3"/>
    <x v="3"/>
    <x v="11"/>
    <x v="11"/>
    <x v="1"/>
    <x v="1"/>
    <x v="1"/>
  </r>
  <r>
    <x v="7"/>
    <x v="2"/>
    <x v="2"/>
    <x v="1"/>
    <x v="1"/>
    <x v="9"/>
    <x v="14"/>
    <x v="21"/>
    <x v="2"/>
    <x v="2"/>
    <x v="12"/>
    <x v="12"/>
    <x v="1"/>
    <x v="1"/>
    <x v="1"/>
  </r>
  <r>
    <x v="7"/>
    <x v="2"/>
    <x v="2"/>
    <x v="1"/>
    <x v="1"/>
    <x v="1"/>
    <x v="15"/>
    <x v="22"/>
    <x v="2"/>
    <x v="2"/>
    <x v="13"/>
    <x v="13"/>
    <x v="1"/>
    <x v="1"/>
    <x v="1"/>
  </r>
  <r>
    <x v="7"/>
    <x v="2"/>
    <x v="2"/>
    <x v="1"/>
    <x v="1"/>
    <x v="1"/>
    <x v="16"/>
    <x v="12"/>
    <x v="2"/>
    <x v="2"/>
    <x v="2"/>
    <x v="2"/>
    <x v="1"/>
    <x v="1"/>
    <x v="1"/>
  </r>
  <r>
    <x v="7"/>
    <x v="2"/>
    <x v="2"/>
    <x v="1"/>
    <x v="1"/>
    <x v="1"/>
    <x v="17"/>
    <x v="23"/>
    <x v="2"/>
    <x v="2"/>
    <x v="14"/>
    <x v="14"/>
    <x v="1"/>
    <x v="1"/>
    <x v="1"/>
  </r>
  <r>
    <x v="7"/>
    <x v="2"/>
    <x v="2"/>
    <x v="1"/>
    <x v="1"/>
    <x v="9"/>
    <x v="18"/>
    <x v="24"/>
    <x v="2"/>
    <x v="2"/>
    <x v="15"/>
    <x v="15"/>
    <x v="1"/>
    <x v="1"/>
    <x v="1"/>
  </r>
  <r>
    <x v="7"/>
    <x v="2"/>
    <x v="2"/>
    <x v="1"/>
    <x v="1"/>
    <x v="6"/>
    <x v="3"/>
    <x v="25"/>
    <x v="2"/>
    <x v="2"/>
    <x v="16"/>
    <x v="16"/>
    <x v="1"/>
    <x v="1"/>
    <x v="1"/>
  </r>
  <r>
    <x v="7"/>
    <x v="2"/>
    <x v="2"/>
    <x v="1"/>
    <x v="1"/>
    <x v="1"/>
    <x v="19"/>
    <x v="26"/>
    <x v="2"/>
    <x v="2"/>
    <x v="17"/>
    <x v="17"/>
    <x v="1"/>
    <x v="1"/>
    <x v="1"/>
  </r>
  <r>
    <x v="8"/>
    <x v="5"/>
    <x v="2"/>
    <x v="1"/>
    <x v="1"/>
    <x v="10"/>
    <x v="20"/>
    <x v="27"/>
    <x v="5"/>
    <x v="5"/>
    <x v="18"/>
    <x v="18"/>
    <x v="1"/>
    <x v="1"/>
    <x v="1"/>
  </r>
  <r>
    <x v="9"/>
    <x v="6"/>
    <x v="1"/>
    <x v="1"/>
    <x v="1"/>
    <x v="6"/>
    <x v="21"/>
    <x v="28"/>
    <x v="1"/>
    <x v="1"/>
    <x v="1"/>
    <x v="1"/>
    <x v="1"/>
    <x v="1"/>
    <x v="1"/>
  </r>
  <r>
    <x v="9"/>
    <x v="6"/>
    <x v="1"/>
    <x v="1"/>
    <x v="1"/>
    <x v="1"/>
    <x v="22"/>
    <x v="29"/>
    <x v="1"/>
    <x v="1"/>
    <x v="1"/>
    <x v="1"/>
    <x v="1"/>
    <x v="1"/>
    <x v="1"/>
  </r>
  <r>
    <x v="9"/>
    <x v="6"/>
    <x v="1"/>
    <x v="1"/>
    <x v="1"/>
    <x v="1"/>
    <x v="13"/>
    <x v="19"/>
    <x v="1"/>
    <x v="1"/>
    <x v="1"/>
    <x v="1"/>
    <x v="1"/>
    <x v="1"/>
    <x v="1"/>
  </r>
  <r>
    <x v="9"/>
    <x v="6"/>
    <x v="1"/>
    <x v="1"/>
    <x v="1"/>
    <x v="1"/>
    <x v="23"/>
    <x v="30"/>
    <x v="1"/>
    <x v="1"/>
    <x v="1"/>
    <x v="1"/>
    <x v="1"/>
    <x v="1"/>
    <x v="1"/>
  </r>
  <r>
    <x v="10"/>
    <x v="7"/>
    <x v="3"/>
    <x v="1"/>
    <x v="1"/>
    <x v="4"/>
    <x v="1"/>
    <x v="31"/>
    <x v="6"/>
    <x v="6"/>
    <x v="19"/>
    <x v="19"/>
    <x v="1"/>
    <x v="1"/>
    <x v="1"/>
  </r>
  <r>
    <x v="10"/>
    <x v="7"/>
    <x v="3"/>
    <x v="1"/>
    <x v="1"/>
    <x v="6"/>
    <x v="24"/>
    <x v="32"/>
    <x v="6"/>
    <x v="6"/>
    <x v="20"/>
    <x v="20"/>
    <x v="1"/>
    <x v="1"/>
    <x v="1"/>
  </r>
  <r>
    <x v="10"/>
    <x v="7"/>
    <x v="3"/>
    <x v="1"/>
    <x v="1"/>
    <x v="1"/>
    <x v="13"/>
    <x v="19"/>
    <x v="6"/>
    <x v="6"/>
    <x v="21"/>
    <x v="21"/>
    <x v="1"/>
    <x v="1"/>
    <x v="1"/>
  </r>
  <r>
    <x v="10"/>
    <x v="7"/>
    <x v="3"/>
    <x v="1"/>
    <x v="1"/>
    <x v="1"/>
    <x v="23"/>
    <x v="30"/>
    <x v="6"/>
    <x v="6"/>
    <x v="22"/>
    <x v="22"/>
    <x v="1"/>
    <x v="1"/>
    <x v="1"/>
  </r>
  <r>
    <x v="10"/>
    <x v="7"/>
    <x v="3"/>
    <x v="1"/>
    <x v="1"/>
    <x v="1"/>
    <x v="25"/>
    <x v="28"/>
    <x v="6"/>
    <x v="6"/>
    <x v="23"/>
    <x v="23"/>
    <x v="1"/>
    <x v="1"/>
    <x v="1"/>
  </r>
  <r>
    <x v="11"/>
    <x v="8"/>
    <x v="2"/>
    <x v="1"/>
    <x v="1"/>
    <x v="1"/>
    <x v="13"/>
    <x v="19"/>
    <x v="7"/>
    <x v="7"/>
    <x v="24"/>
    <x v="24"/>
    <x v="1"/>
    <x v="1"/>
    <x v="1"/>
  </r>
  <r>
    <x v="11"/>
    <x v="8"/>
    <x v="2"/>
    <x v="1"/>
    <x v="1"/>
    <x v="1"/>
    <x v="26"/>
    <x v="33"/>
    <x v="7"/>
    <x v="7"/>
    <x v="25"/>
    <x v="25"/>
    <x v="1"/>
    <x v="1"/>
    <x v="1"/>
  </r>
  <r>
    <x v="11"/>
    <x v="8"/>
    <x v="2"/>
    <x v="1"/>
    <x v="1"/>
    <x v="1"/>
    <x v="27"/>
    <x v="34"/>
    <x v="7"/>
    <x v="7"/>
    <x v="26"/>
    <x v="26"/>
    <x v="1"/>
    <x v="1"/>
    <x v="1"/>
  </r>
  <r>
    <x v="11"/>
    <x v="8"/>
    <x v="2"/>
    <x v="1"/>
    <x v="1"/>
    <x v="1"/>
    <x v="18"/>
    <x v="35"/>
    <x v="7"/>
    <x v="7"/>
    <x v="27"/>
    <x v="27"/>
    <x v="1"/>
    <x v="1"/>
    <x v="1"/>
  </r>
  <r>
    <x v="11"/>
    <x v="8"/>
    <x v="2"/>
    <x v="1"/>
    <x v="1"/>
    <x v="1"/>
    <x v="28"/>
    <x v="36"/>
    <x v="7"/>
    <x v="7"/>
    <x v="28"/>
    <x v="28"/>
    <x v="1"/>
    <x v="1"/>
    <x v="1"/>
  </r>
  <r>
    <x v="2"/>
    <x v="1"/>
    <x v="1"/>
    <x v="1"/>
    <x v="1"/>
    <x v="7"/>
    <x v="6"/>
    <x v="13"/>
    <x v="1"/>
    <x v="1"/>
    <x v="1"/>
    <x v="1"/>
    <x v="1"/>
    <x v="1"/>
    <x v="1"/>
  </r>
  <r>
    <x v="2"/>
    <x v="1"/>
    <x v="1"/>
    <x v="1"/>
    <x v="1"/>
    <x v="8"/>
    <x v="6"/>
    <x v="14"/>
    <x v="1"/>
    <x v="1"/>
    <x v="1"/>
    <x v="1"/>
    <x v="1"/>
    <x v="1"/>
    <x v="1"/>
  </r>
  <r>
    <x v="6"/>
    <x v="3"/>
    <x v="3"/>
    <x v="1"/>
    <x v="1"/>
    <x v="6"/>
    <x v="13"/>
    <x v="20"/>
    <x v="3"/>
    <x v="3"/>
    <x v="11"/>
    <x v="11"/>
    <x v="1"/>
    <x v="1"/>
    <x v="1"/>
  </r>
  <r>
    <x v="4"/>
    <x v="3"/>
    <x v="3"/>
    <x v="1"/>
    <x v="1"/>
    <x v="7"/>
    <x v="6"/>
    <x v="13"/>
    <x v="3"/>
    <x v="3"/>
    <x v="3"/>
    <x v="3"/>
    <x v="1"/>
    <x v="1"/>
    <x v="1"/>
  </r>
  <r>
    <x v="4"/>
    <x v="3"/>
    <x v="3"/>
    <x v="1"/>
    <x v="1"/>
    <x v="6"/>
    <x v="8"/>
    <x v="12"/>
    <x v="3"/>
    <x v="3"/>
    <x v="4"/>
    <x v="4"/>
    <x v="1"/>
    <x v="1"/>
    <x v="1"/>
  </r>
  <r>
    <x v="5"/>
    <x v="4"/>
    <x v="3"/>
    <x v="1"/>
    <x v="1"/>
    <x v="6"/>
    <x v="1"/>
    <x v="37"/>
    <x v="4"/>
    <x v="4"/>
    <x v="29"/>
    <x v="29"/>
    <x v="1"/>
    <x v="1"/>
    <x v="1"/>
  </r>
  <r>
    <x v="5"/>
    <x v="4"/>
    <x v="3"/>
    <x v="1"/>
    <x v="1"/>
    <x v="6"/>
    <x v="29"/>
    <x v="38"/>
    <x v="4"/>
    <x v="4"/>
    <x v="30"/>
    <x v="30"/>
    <x v="1"/>
    <x v="1"/>
    <x v="1"/>
  </r>
  <r>
    <x v="5"/>
    <x v="4"/>
    <x v="3"/>
    <x v="1"/>
    <x v="1"/>
    <x v="1"/>
    <x v="13"/>
    <x v="19"/>
    <x v="4"/>
    <x v="4"/>
    <x v="10"/>
    <x v="10"/>
    <x v="1"/>
    <x v="1"/>
    <x v="1"/>
  </r>
  <r>
    <x v="5"/>
    <x v="4"/>
    <x v="3"/>
    <x v="1"/>
    <x v="1"/>
    <x v="1"/>
    <x v="27"/>
    <x v="34"/>
    <x v="4"/>
    <x v="4"/>
    <x v="31"/>
    <x v="31"/>
    <x v="1"/>
    <x v="1"/>
    <x v="1"/>
  </r>
  <r>
    <x v="12"/>
    <x v="2"/>
    <x v="2"/>
    <x v="1"/>
    <x v="1"/>
    <x v="1"/>
    <x v="30"/>
    <x v="39"/>
    <x v="2"/>
    <x v="2"/>
    <x v="32"/>
    <x v="32"/>
    <x v="1"/>
    <x v="1"/>
    <x v="1"/>
  </r>
  <r>
    <x v="12"/>
    <x v="2"/>
    <x v="2"/>
    <x v="1"/>
    <x v="1"/>
    <x v="1"/>
    <x v="31"/>
    <x v="40"/>
    <x v="2"/>
    <x v="2"/>
    <x v="33"/>
    <x v="33"/>
    <x v="1"/>
    <x v="1"/>
    <x v="1"/>
  </r>
  <r>
    <x v="12"/>
    <x v="2"/>
    <x v="2"/>
    <x v="1"/>
    <x v="1"/>
    <x v="1"/>
    <x v="32"/>
    <x v="41"/>
    <x v="2"/>
    <x v="2"/>
    <x v="34"/>
    <x v="34"/>
    <x v="1"/>
    <x v="1"/>
    <x v="1"/>
  </r>
  <r>
    <x v="12"/>
    <x v="2"/>
    <x v="2"/>
    <x v="1"/>
    <x v="1"/>
    <x v="1"/>
    <x v="16"/>
    <x v="12"/>
    <x v="2"/>
    <x v="2"/>
    <x v="2"/>
    <x v="2"/>
    <x v="1"/>
    <x v="1"/>
    <x v="1"/>
  </r>
  <r>
    <x v="13"/>
    <x v="9"/>
    <x v="2"/>
    <x v="1"/>
    <x v="1"/>
    <x v="1"/>
    <x v="33"/>
    <x v="42"/>
    <x v="8"/>
    <x v="8"/>
    <x v="35"/>
    <x v="35"/>
    <x v="1"/>
    <x v="1"/>
    <x v="1"/>
  </r>
  <r>
    <x v="13"/>
    <x v="9"/>
    <x v="2"/>
    <x v="1"/>
    <x v="1"/>
    <x v="1"/>
    <x v="27"/>
    <x v="34"/>
    <x v="8"/>
    <x v="8"/>
    <x v="36"/>
    <x v="36"/>
    <x v="1"/>
    <x v="1"/>
    <x v="1"/>
  </r>
  <r>
    <x v="13"/>
    <x v="9"/>
    <x v="2"/>
    <x v="1"/>
    <x v="1"/>
    <x v="1"/>
    <x v="34"/>
    <x v="43"/>
    <x v="8"/>
    <x v="8"/>
    <x v="37"/>
    <x v="37"/>
    <x v="1"/>
    <x v="1"/>
    <x v="1"/>
  </r>
  <r>
    <x v="13"/>
    <x v="9"/>
    <x v="2"/>
    <x v="1"/>
    <x v="1"/>
    <x v="1"/>
    <x v="35"/>
    <x v="44"/>
    <x v="8"/>
    <x v="8"/>
    <x v="38"/>
    <x v="38"/>
    <x v="1"/>
    <x v="1"/>
    <x v="1"/>
  </r>
  <r>
    <x v="13"/>
    <x v="9"/>
    <x v="2"/>
    <x v="1"/>
    <x v="1"/>
    <x v="1"/>
    <x v="36"/>
    <x v="45"/>
    <x v="8"/>
    <x v="8"/>
    <x v="39"/>
    <x v="39"/>
    <x v="1"/>
    <x v="1"/>
    <x v="1"/>
  </r>
  <r>
    <x v="13"/>
    <x v="9"/>
    <x v="2"/>
    <x v="1"/>
    <x v="1"/>
    <x v="1"/>
    <x v="37"/>
    <x v="37"/>
    <x v="8"/>
    <x v="8"/>
    <x v="40"/>
    <x v="40"/>
    <x v="1"/>
    <x v="1"/>
    <x v="1"/>
  </r>
  <r>
    <x v="13"/>
    <x v="9"/>
    <x v="2"/>
    <x v="1"/>
    <x v="1"/>
    <x v="1"/>
    <x v="25"/>
    <x v="28"/>
    <x v="8"/>
    <x v="8"/>
    <x v="41"/>
    <x v="41"/>
    <x v="1"/>
    <x v="1"/>
    <x v="1"/>
  </r>
  <r>
    <x v="13"/>
    <x v="9"/>
    <x v="2"/>
    <x v="1"/>
    <x v="1"/>
    <x v="1"/>
    <x v="38"/>
    <x v="46"/>
    <x v="8"/>
    <x v="8"/>
    <x v="42"/>
    <x v="42"/>
    <x v="1"/>
    <x v="1"/>
    <x v="1"/>
  </r>
  <r>
    <x v="13"/>
    <x v="9"/>
    <x v="2"/>
    <x v="1"/>
    <x v="1"/>
    <x v="1"/>
    <x v="39"/>
    <x v="47"/>
    <x v="8"/>
    <x v="8"/>
    <x v="43"/>
    <x v="43"/>
    <x v="1"/>
    <x v="1"/>
    <x v="1"/>
  </r>
  <r>
    <x v="13"/>
    <x v="9"/>
    <x v="2"/>
    <x v="1"/>
    <x v="1"/>
    <x v="1"/>
    <x v="40"/>
    <x v="48"/>
    <x v="8"/>
    <x v="8"/>
    <x v="44"/>
    <x v="44"/>
    <x v="1"/>
    <x v="1"/>
    <x v="1"/>
  </r>
  <r>
    <x v="13"/>
    <x v="9"/>
    <x v="2"/>
    <x v="1"/>
    <x v="1"/>
    <x v="1"/>
    <x v="41"/>
    <x v="49"/>
    <x v="8"/>
    <x v="8"/>
    <x v="45"/>
    <x v="45"/>
    <x v="1"/>
    <x v="1"/>
    <x v="1"/>
  </r>
  <r>
    <x v="13"/>
    <x v="9"/>
    <x v="2"/>
    <x v="1"/>
    <x v="1"/>
    <x v="1"/>
    <x v="42"/>
    <x v="50"/>
    <x v="8"/>
    <x v="8"/>
    <x v="46"/>
    <x v="46"/>
    <x v="1"/>
    <x v="1"/>
    <x v="1"/>
  </r>
  <r>
    <x v="13"/>
    <x v="9"/>
    <x v="2"/>
    <x v="1"/>
    <x v="1"/>
    <x v="1"/>
    <x v="43"/>
    <x v="51"/>
    <x v="8"/>
    <x v="8"/>
    <x v="47"/>
    <x v="47"/>
    <x v="1"/>
    <x v="1"/>
    <x v="1"/>
  </r>
  <r>
    <x v="13"/>
    <x v="9"/>
    <x v="2"/>
    <x v="1"/>
    <x v="1"/>
    <x v="1"/>
    <x v="44"/>
    <x v="52"/>
    <x v="8"/>
    <x v="8"/>
    <x v="48"/>
    <x v="48"/>
    <x v="1"/>
    <x v="1"/>
    <x v="1"/>
  </r>
  <r>
    <x v="13"/>
    <x v="9"/>
    <x v="2"/>
    <x v="1"/>
    <x v="1"/>
    <x v="1"/>
    <x v="45"/>
    <x v="53"/>
    <x v="8"/>
    <x v="8"/>
    <x v="49"/>
    <x v="49"/>
    <x v="1"/>
    <x v="1"/>
    <x v="1"/>
  </r>
  <r>
    <x v="13"/>
    <x v="9"/>
    <x v="2"/>
    <x v="1"/>
    <x v="1"/>
    <x v="1"/>
    <x v="46"/>
    <x v="54"/>
    <x v="8"/>
    <x v="8"/>
    <x v="50"/>
    <x v="50"/>
    <x v="1"/>
    <x v="1"/>
    <x v="1"/>
  </r>
  <r>
    <x v="13"/>
    <x v="9"/>
    <x v="2"/>
    <x v="1"/>
    <x v="1"/>
    <x v="6"/>
    <x v="47"/>
    <x v="55"/>
    <x v="8"/>
    <x v="8"/>
    <x v="51"/>
    <x v="51"/>
    <x v="1"/>
    <x v="1"/>
    <x v="1"/>
  </r>
  <r>
    <x v="13"/>
    <x v="9"/>
    <x v="2"/>
    <x v="1"/>
    <x v="1"/>
    <x v="1"/>
    <x v="48"/>
    <x v="56"/>
    <x v="8"/>
    <x v="8"/>
    <x v="52"/>
    <x v="52"/>
    <x v="1"/>
    <x v="1"/>
    <x v="1"/>
  </r>
  <r>
    <x v="13"/>
    <x v="9"/>
    <x v="2"/>
    <x v="1"/>
    <x v="1"/>
    <x v="1"/>
    <x v="37"/>
    <x v="37"/>
    <x v="8"/>
    <x v="8"/>
    <x v="40"/>
    <x v="40"/>
    <x v="1"/>
    <x v="1"/>
    <x v="1"/>
  </r>
  <r>
    <x v="13"/>
    <x v="9"/>
    <x v="2"/>
    <x v="1"/>
    <x v="1"/>
    <x v="6"/>
    <x v="49"/>
    <x v="57"/>
    <x v="8"/>
    <x v="8"/>
    <x v="53"/>
    <x v="53"/>
    <x v="1"/>
    <x v="1"/>
    <x v="1"/>
  </r>
  <r>
    <x v="13"/>
    <x v="9"/>
    <x v="2"/>
    <x v="1"/>
    <x v="1"/>
    <x v="6"/>
    <x v="50"/>
    <x v="58"/>
    <x v="8"/>
    <x v="8"/>
    <x v="54"/>
    <x v="54"/>
    <x v="1"/>
    <x v="1"/>
    <x v="1"/>
  </r>
  <r>
    <x v="13"/>
    <x v="9"/>
    <x v="2"/>
    <x v="1"/>
    <x v="1"/>
    <x v="1"/>
    <x v="48"/>
    <x v="56"/>
    <x v="8"/>
    <x v="8"/>
    <x v="52"/>
    <x v="52"/>
    <x v="1"/>
    <x v="1"/>
    <x v="1"/>
  </r>
  <r>
    <x v="13"/>
    <x v="9"/>
    <x v="2"/>
    <x v="1"/>
    <x v="1"/>
    <x v="1"/>
    <x v="37"/>
    <x v="37"/>
    <x v="8"/>
    <x v="8"/>
    <x v="40"/>
    <x v="40"/>
    <x v="1"/>
    <x v="1"/>
    <x v="1"/>
  </r>
  <r>
    <x v="13"/>
    <x v="9"/>
    <x v="2"/>
    <x v="1"/>
    <x v="1"/>
    <x v="1"/>
    <x v="50"/>
    <x v="59"/>
    <x v="8"/>
    <x v="8"/>
    <x v="55"/>
    <x v="55"/>
    <x v="1"/>
    <x v="1"/>
    <x v="1"/>
  </r>
  <r>
    <x v="13"/>
    <x v="9"/>
    <x v="2"/>
    <x v="1"/>
    <x v="1"/>
    <x v="1"/>
    <x v="51"/>
    <x v="60"/>
    <x v="8"/>
    <x v="8"/>
    <x v="56"/>
    <x v="56"/>
    <x v="1"/>
    <x v="1"/>
    <x v="1"/>
  </r>
  <r>
    <x v="14"/>
    <x v="10"/>
    <x v="1"/>
    <x v="1"/>
    <x v="1"/>
    <x v="1"/>
    <x v="31"/>
    <x v="40"/>
    <x v="1"/>
    <x v="1"/>
    <x v="1"/>
    <x v="1"/>
    <x v="1"/>
    <x v="1"/>
    <x v="1"/>
  </r>
  <r>
    <x v="14"/>
    <x v="10"/>
    <x v="1"/>
    <x v="1"/>
    <x v="1"/>
    <x v="1"/>
    <x v="52"/>
    <x v="61"/>
    <x v="1"/>
    <x v="1"/>
    <x v="1"/>
    <x v="1"/>
    <x v="1"/>
    <x v="1"/>
    <x v="1"/>
  </r>
  <r>
    <x v="14"/>
    <x v="10"/>
    <x v="1"/>
    <x v="1"/>
    <x v="1"/>
    <x v="1"/>
    <x v="48"/>
    <x v="56"/>
    <x v="1"/>
    <x v="1"/>
    <x v="1"/>
    <x v="1"/>
    <x v="1"/>
    <x v="1"/>
    <x v="1"/>
  </r>
  <r>
    <x v="14"/>
    <x v="10"/>
    <x v="1"/>
    <x v="1"/>
    <x v="1"/>
    <x v="1"/>
    <x v="53"/>
    <x v="62"/>
    <x v="1"/>
    <x v="1"/>
    <x v="1"/>
    <x v="1"/>
    <x v="1"/>
    <x v="1"/>
    <x v="1"/>
  </r>
  <r>
    <x v="14"/>
    <x v="10"/>
    <x v="1"/>
    <x v="1"/>
    <x v="1"/>
    <x v="1"/>
    <x v="54"/>
    <x v="63"/>
    <x v="1"/>
    <x v="1"/>
    <x v="1"/>
    <x v="1"/>
    <x v="1"/>
    <x v="1"/>
    <x v="1"/>
  </r>
  <r>
    <x v="14"/>
    <x v="10"/>
    <x v="1"/>
    <x v="1"/>
    <x v="1"/>
    <x v="1"/>
    <x v="1"/>
    <x v="1"/>
    <x v="1"/>
    <x v="1"/>
    <x v="1"/>
    <x v="1"/>
    <x v="1"/>
    <x v="1"/>
    <x v="1"/>
  </r>
  <r>
    <x v="14"/>
    <x v="10"/>
    <x v="1"/>
    <x v="1"/>
    <x v="1"/>
    <x v="1"/>
    <x v="25"/>
    <x v="28"/>
    <x v="1"/>
    <x v="1"/>
    <x v="1"/>
    <x v="1"/>
    <x v="1"/>
    <x v="1"/>
    <x v="1"/>
  </r>
  <r>
    <x v="14"/>
    <x v="10"/>
    <x v="1"/>
    <x v="1"/>
    <x v="1"/>
    <x v="1"/>
    <x v="55"/>
    <x v="64"/>
    <x v="1"/>
    <x v="1"/>
    <x v="1"/>
    <x v="1"/>
    <x v="1"/>
    <x v="1"/>
    <x v="1"/>
  </r>
  <r>
    <x v="14"/>
    <x v="10"/>
    <x v="1"/>
    <x v="1"/>
    <x v="1"/>
    <x v="1"/>
    <x v="50"/>
    <x v="59"/>
    <x v="1"/>
    <x v="1"/>
    <x v="1"/>
    <x v="1"/>
    <x v="1"/>
    <x v="1"/>
    <x v="1"/>
  </r>
  <r>
    <x v="14"/>
    <x v="10"/>
    <x v="1"/>
    <x v="1"/>
    <x v="1"/>
    <x v="9"/>
    <x v="56"/>
    <x v="65"/>
    <x v="1"/>
    <x v="1"/>
    <x v="1"/>
    <x v="1"/>
    <x v="1"/>
    <x v="1"/>
    <x v="1"/>
  </r>
  <r>
    <x v="3"/>
    <x v="2"/>
    <x v="2"/>
    <x v="1"/>
    <x v="1"/>
    <x v="6"/>
    <x v="8"/>
    <x v="12"/>
    <x v="2"/>
    <x v="2"/>
    <x v="2"/>
    <x v="2"/>
    <x v="1"/>
    <x v="1"/>
    <x v="1"/>
  </r>
  <r>
    <x v="3"/>
    <x v="2"/>
    <x v="2"/>
    <x v="1"/>
    <x v="1"/>
    <x v="11"/>
    <x v="8"/>
    <x v="66"/>
    <x v="2"/>
    <x v="2"/>
    <x v="57"/>
    <x v="57"/>
    <x v="1"/>
    <x v="1"/>
    <x v="1"/>
  </r>
  <r>
    <x v="15"/>
    <x v="11"/>
    <x v="2"/>
    <x v="1"/>
    <x v="1"/>
    <x v="6"/>
    <x v="8"/>
    <x v="12"/>
    <x v="9"/>
    <x v="9"/>
    <x v="58"/>
    <x v="58"/>
    <x v="1"/>
    <x v="1"/>
    <x v="1"/>
  </r>
  <r>
    <x v="16"/>
    <x v="12"/>
    <x v="2"/>
    <x v="1"/>
    <x v="1"/>
    <x v="6"/>
    <x v="8"/>
    <x v="12"/>
    <x v="10"/>
    <x v="10"/>
    <x v="59"/>
    <x v="59"/>
    <x v="1"/>
    <x v="1"/>
    <x v="1"/>
  </r>
  <r>
    <x v="17"/>
    <x v="2"/>
    <x v="2"/>
    <x v="1"/>
    <x v="1"/>
    <x v="6"/>
    <x v="52"/>
    <x v="67"/>
    <x v="2"/>
    <x v="2"/>
    <x v="60"/>
    <x v="60"/>
    <x v="1"/>
    <x v="1"/>
    <x v="1"/>
  </r>
  <r>
    <x v="17"/>
    <x v="2"/>
    <x v="2"/>
    <x v="1"/>
    <x v="1"/>
    <x v="6"/>
    <x v="57"/>
    <x v="68"/>
    <x v="2"/>
    <x v="2"/>
    <x v="61"/>
    <x v="61"/>
    <x v="1"/>
    <x v="1"/>
    <x v="1"/>
  </r>
  <r>
    <x v="17"/>
    <x v="2"/>
    <x v="2"/>
    <x v="1"/>
    <x v="1"/>
    <x v="6"/>
    <x v="37"/>
    <x v="31"/>
    <x v="2"/>
    <x v="2"/>
    <x v="62"/>
    <x v="62"/>
    <x v="1"/>
    <x v="1"/>
    <x v="1"/>
  </r>
  <r>
    <x v="18"/>
    <x v="11"/>
    <x v="2"/>
    <x v="1"/>
    <x v="1"/>
    <x v="6"/>
    <x v="36"/>
    <x v="69"/>
    <x v="9"/>
    <x v="9"/>
    <x v="63"/>
    <x v="63"/>
    <x v="1"/>
    <x v="1"/>
    <x v="1"/>
  </r>
  <r>
    <x v="19"/>
    <x v="13"/>
    <x v="2"/>
    <x v="1"/>
    <x v="1"/>
    <x v="1"/>
    <x v="58"/>
    <x v="7"/>
    <x v="11"/>
    <x v="11"/>
    <x v="64"/>
    <x v="64"/>
    <x v="1"/>
    <x v="1"/>
    <x v="1"/>
  </r>
  <r>
    <x v="20"/>
    <x v="14"/>
    <x v="1"/>
    <x v="2"/>
    <x v="1"/>
    <x v="12"/>
    <x v="59"/>
    <x v="70"/>
    <x v="1"/>
    <x v="1"/>
    <x v="1"/>
    <x v="1"/>
    <x v="1"/>
    <x v="1"/>
    <x v="1"/>
  </r>
  <r>
    <x v="20"/>
    <x v="14"/>
    <x v="1"/>
    <x v="2"/>
    <x v="1"/>
    <x v="12"/>
    <x v="38"/>
    <x v="71"/>
    <x v="1"/>
    <x v="1"/>
    <x v="1"/>
    <x v="1"/>
    <x v="1"/>
    <x v="1"/>
    <x v="1"/>
  </r>
  <r>
    <x v="20"/>
    <x v="14"/>
    <x v="1"/>
    <x v="2"/>
    <x v="1"/>
    <x v="12"/>
    <x v="41"/>
    <x v="72"/>
    <x v="1"/>
    <x v="1"/>
    <x v="1"/>
    <x v="1"/>
    <x v="1"/>
    <x v="1"/>
    <x v="1"/>
  </r>
  <r>
    <x v="20"/>
    <x v="14"/>
    <x v="1"/>
    <x v="2"/>
    <x v="1"/>
    <x v="10"/>
    <x v="60"/>
    <x v="73"/>
    <x v="1"/>
    <x v="1"/>
    <x v="1"/>
    <x v="1"/>
    <x v="1"/>
    <x v="1"/>
    <x v="1"/>
  </r>
  <r>
    <x v="20"/>
    <x v="14"/>
    <x v="1"/>
    <x v="2"/>
    <x v="1"/>
    <x v="10"/>
    <x v="4"/>
    <x v="74"/>
    <x v="1"/>
    <x v="1"/>
    <x v="1"/>
    <x v="1"/>
    <x v="1"/>
    <x v="1"/>
    <x v="1"/>
  </r>
  <r>
    <x v="20"/>
    <x v="14"/>
    <x v="1"/>
    <x v="2"/>
    <x v="1"/>
    <x v="12"/>
    <x v="59"/>
    <x v="70"/>
    <x v="1"/>
    <x v="1"/>
    <x v="1"/>
    <x v="1"/>
    <x v="1"/>
    <x v="1"/>
    <x v="1"/>
  </r>
  <r>
    <x v="20"/>
    <x v="14"/>
    <x v="1"/>
    <x v="2"/>
    <x v="1"/>
    <x v="12"/>
    <x v="38"/>
    <x v="71"/>
    <x v="1"/>
    <x v="1"/>
    <x v="1"/>
    <x v="1"/>
    <x v="1"/>
    <x v="1"/>
    <x v="1"/>
  </r>
  <r>
    <x v="20"/>
    <x v="14"/>
    <x v="1"/>
    <x v="2"/>
    <x v="1"/>
    <x v="12"/>
    <x v="41"/>
    <x v="72"/>
    <x v="1"/>
    <x v="1"/>
    <x v="1"/>
    <x v="1"/>
    <x v="1"/>
    <x v="1"/>
    <x v="1"/>
  </r>
  <r>
    <x v="20"/>
    <x v="14"/>
    <x v="1"/>
    <x v="2"/>
    <x v="1"/>
    <x v="10"/>
    <x v="60"/>
    <x v="73"/>
    <x v="1"/>
    <x v="1"/>
    <x v="1"/>
    <x v="1"/>
    <x v="1"/>
    <x v="1"/>
    <x v="1"/>
  </r>
  <r>
    <x v="20"/>
    <x v="14"/>
    <x v="1"/>
    <x v="2"/>
    <x v="1"/>
    <x v="10"/>
    <x v="4"/>
    <x v="74"/>
    <x v="1"/>
    <x v="1"/>
    <x v="1"/>
    <x v="1"/>
    <x v="1"/>
    <x v="1"/>
    <x v="1"/>
  </r>
  <r>
    <x v="21"/>
    <x v="14"/>
    <x v="1"/>
    <x v="2"/>
    <x v="1"/>
    <x v="13"/>
    <x v="61"/>
    <x v="75"/>
    <x v="1"/>
    <x v="1"/>
    <x v="1"/>
    <x v="1"/>
    <x v="1"/>
    <x v="1"/>
    <x v="1"/>
  </r>
  <r>
    <x v="21"/>
    <x v="14"/>
    <x v="1"/>
    <x v="2"/>
    <x v="1"/>
    <x v="13"/>
    <x v="62"/>
    <x v="76"/>
    <x v="1"/>
    <x v="1"/>
    <x v="1"/>
    <x v="1"/>
    <x v="1"/>
    <x v="1"/>
    <x v="1"/>
  </r>
  <r>
    <x v="21"/>
    <x v="14"/>
    <x v="1"/>
    <x v="2"/>
    <x v="1"/>
    <x v="13"/>
    <x v="63"/>
    <x v="77"/>
    <x v="1"/>
    <x v="1"/>
    <x v="1"/>
    <x v="1"/>
    <x v="1"/>
    <x v="1"/>
    <x v="1"/>
  </r>
  <r>
    <x v="21"/>
    <x v="14"/>
    <x v="1"/>
    <x v="2"/>
    <x v="1"/>
    <x v="13"/>
    <x v="64"/>
    <x v="78"/>
    <x v="1"/>
    <x v="1"/>
    <x v="1"/>
    <x v="1"/>
    <x v="1"/>
    <x v="1"/>
    <x v="1"/>
  </r>
  <r>
    <x v="21"/>
    <x v="14"/>
    <x v="1"/>
    <x v="2"/>
    <x v="1"/>
    <x v="13"/>
    <x v="65"/>
    <x v="79"/>
    <x v="1"/>
    <x v="1"/>
    <x v="1"/>
    <x v="1"/>
    <x v="1"/>
    <x v="1"/>
    <x v="1"/>
  </r>
  <r>
    <x v="21"/>
    <x v="14"/>
    <x v="1"/>
    <x v="2"/>
    <x v="1"/>
    <x v="13"/>
    <x v="41"/>
    <x v="80"/>
    <x v="1"/>
    <x v="1"/>
    <x v="1"/>
    <x v="1"/>
    <x v="1"/>
    <x v="1"/>
    <x v="1"/>
  </r>
  <r>
    <x v="22"/>
    <x v="15"/>
    <x v="1"/>
    <x v="2"/>
    <x v="1"/>
    <x v="11"/>
    <x v="66"/>
    <x v="81"/>
    <x v="1"/>
    <x v="1"/>
    <x v="1"/>
    <x v="1"/>
    <x v="1"/>
    <x v="1"/>
    <x v="1"/>
  </r>
  <r>
    <x v="0"/>
    <x v="0"/>
    <x v="0"/>
    <x v="0"/>
    <x v="0"/>
    <x v="0"/>
    <x v="0"/>
    <x v="0"/>
    <x v="0"/>
    <x v="0"/>
    <x v="0"/>
    <x v="0"/>
    <x v="0"/>
    <x v="0"/>
    <x v="0"/>
  </r>
  <r>
    <x v="1"/>
    <x v="1"/>
    <x v="1"/>
    <x v="1"/>
    <x v="1"/>
    <x v="9"/>
    <x v="67"/>
    <x v="7"/>
    <x v="1"/>
    <x v="1"/>
    <x v="1"/>
    <x v="1"/>
    <x v="1"/>
    <x v="1"/>
    <x v="1"/>
  </r>
  <r>
    <x v="1"/>
    <x v="1"/>
    <x v="1"/>
    <x v="1"/>
    <x v="1"/>
    <x v="9"/>
    <x v="30"/>
    <x v="82"/>
    <x v="1"/>
    <x v="1"/>
    <x v="1"/>
    <x v="1"/>
    <x v="1"/>
    <x v="1"/>
    <x v="1"/>
  </r>
  <r>
    <x v="23"/>
    <x v="16"/>
    <x v="3"/>
    <x v="1"/>
    <x v="1"/>
    <x v="9"/>
    <x v="68"/>
    <x v="83"/>
    <x v="12"/>
    <x v="12"/>
    <x v="65"/>
    <x v="65"/>
    <x v="1"/>
    <x v="1"/>
    <x v="1"/>
  </r>
  <r>
    <x v="24"/>
    <x v="16"/>
    <x v="3"/>
    <x v="1"/>
    <x v="1"/>
    <x v="9"/>
    <x v="4"/>
    <x v="84"/>
    <x v="12"/>
    <x v="12"/>
    <x v="66"/>
    <x v="66"/>
    <x v="1"/>
    <x v="1"/>
    <x v="1"/>
  </r>
  <r>
    <x v="24"/>
    <x v="16"/>
    <x v="3"/>
    <x v="1"/>
    <x v="1"/>
    <x v="6"/>
    <x v="13"/>
    <x v="20"/>
    <x v="12"/>
    <x v="12"/>
    <x v="67"/>
    <x v="67"/>
    <x v="1"/>
    <x v="1"/>
    <x v="1"/>
  </r>
  <r>
    <x v="23"/>
    <x v="16"/>
    <x v="3"/>
    <x v="1"/>
    <x v="1"/>
    <x v="1"/>
    <x v="32"/>
    <x v="41"/>
    <x v="12"/>
    <x v="12"/>
    <x v="68"/>
    <x v="68"/>
    <x v="1"/>
    <x v="1"/>
    <x v="1"/>
  </r>
  <r>
    <x v="25"/>
    <x v="17"/>
    <x v="2"/>
    <x v="1"/>
    <x v="1"/>
    <x v="9"/>
    <x v="69"/>
    <x v="85"/>
    <x v="13"/>
    <x v="13"/>
    <x v="69"/>
    <x v="69"/>
    <x v="1"/>
    <x v="1"/>
    <x v="1"/>
  </r>
  <r>
    <x v="26"/>
    <x v="18"/>
    <x v="2"/>
    <x v="1"/>
    <x v="1"/>
    <x v="9"/>
    <x v="17"/>
    <x v="86"/>
    <x v="14"/>
    <x v="14"/>
    <x v="70"/>
    <x v="70"/>
    <x v="1"/>
    <x v="1"/>
    <x v="1"/>
  </r>
  <r>
    <x v="5"/>
    <x v="4"/>
    <x v="3"/>
    <x v="1"/>
    <x v="1"/>
    <x v="6"/>
    <x v="70"/>
    <x v="87"/>
    <x v="4"/>
    <x v="4"/>
    <x v="71"/>
    <x v="71"/>
    <x v="1"/>
    <x v="1"/>
    <x v="1"/>
  </r>
  <r>
    <x v="0"/>
    <x v="0"/>
    <x v="0"/>
    <x v="0"/>
    <x v="0"/>
    <x v="0"/>
    <x v="0"/>
    <x v="0"/>
    <x v="0"/>
    <x v="0"/>
    <x v="0"/>
    <x v="0"/>
    <x v="0"/>
    <x v="0"/>
    <x v="0"/>
  </r>
  <r>
    <x v="23"/>
    <x v="16"/>
    <x v="3"/>
    <x v="1"/>
    <x v="1"/>
    <x v="3"/>
    <x v="32"/>
    <x v="88"/>
    <x v="12"/>
    <x v="12"/>
    <x v="72"/>
    <x v="72"/>
    <x v="1"/>
    <x v="1"/>
    <x v="1"/>
  </r>
  <r>
    <x v="1"/>
    <x v="1"/>
    <x v="1"/>
    <x v="1"/>
    <x v="1"/>
    <x v="12"/>
    <x v="32"/>
    <x v="89"/>
    <x v="1"/>
    <x v="1"/>
    <x v="1"/>
    <x v="1"/>
    <x v="1"/>
    <x v="1"/>
    <x v="1"/>
  </r>
  <r>
    <x v="10"/>
    <x v="7"/>
    <x v="3"/>
    <x v="1"/>
    <x v="1"/>
    <x v="1"/>
    <x v="71"/>
    <x v="90"/>
    <x v="6"/>
    <x v="6"/>
    <x v="73"/>
    <x v="73"/>
    <x v="1"/>
    <x v="1"/>
    <x v="1"/>
  </r>
  <r>
    <x v="6"/>
    <x v="3"/>
    <x v="3"/>
    <x v="1"/>
    <x v="1"/>
    <x v="1"/>
    <x v="72"/>
    <x v="91"/>
    <x v="3"/>
    <x v="3"/>
    <x v="74"/>
    <x v="74"/>
    <x v="1"/>
    <x v="1"/>
    <x v="1"/>
  </r>
  <r>
    <x v="6"/>
    <x v="3"/>
    <x v="3"/>
    <x v="1"/>
    <x v="1"/>
    <x v="1"/>
    <x v="73"/>
    <x v="92"/>
    <x v="3"/>
    <x v="3"/>
    <x v="75"/>
    <x v="75"/>
    <x v="1"/>
    <x v="1"/>
    <x v="1"/>
  </r>
  <r>
    <x v="27"/>
    <x v="19"/>
    <x v="2"/>
    <x v="1"/>
    <x v="1"/>
    <x v="1"/>
    <x v="74"/>
    <x v="93"/>
    <x v="15"/>
    <x v="15"/>
    <x v="76"/>
    <x v="76"/>
    <x v="1"/>
    <x v="1"/>
    <x v="1"/>
  </r>
  <r>
    <x v="14"/>
    <x v="20"/>
    <x v="2"/>
    <x v="1"/>
    <x v="1"/>
    <x v="1"/>
    <x v="74"/>
    <x v="93"/>
    <x v="16"/>
    <x v="16"/>
    <x v="77"/>
    <x v="77"/>
    <x v="1"/>
    <x v="1"/>
    <x v="1"/>
  </r>
  <r>
    <x v="28"/>
    <x v="3"/>
    <x v="3"/>
    <x v="1"/>
    <x v="1"/>
    <x v="6"/>
    <x v="68"/>
    <x v="48"/>
    <x v="3"/>
    <x v="3"/>
    <x v="78"/>
    <x v="78"/>
    <x v="1"/>
    <x v="1"/>
    <x v="1"/>
  </r>
  <r>
    <x v="0"/>
    <x v="0"/>
    <x v="0"/>
    <x v="0"/>
    <x v="0"/>
    <x v="0"/>
    <x v="0"/>
    <x v="0"/>
    <x v="0"/>
    <x v="0"/>
    <x v="0"/>
    <x v="0"/>
    <x v="0"/>
    <x v="0"/>
    <x v="0"/>
  </r>
  <r>
    <x v="29"/>
    <x v="4"/>
    <x v="3"/>
    <x v="1"/>
    <x v="1"/>
    <x v="1"/>
    <x v="75"/>
    <x v="94"/>
    <x v="4"/>
    <x v="4"/>
    <x v="79"/>
    <x v="79"/>
    <x v="1"/>
    <x v="1"/>
    <x v="1"/>
  </r>
  <r>
    <x v="5"/>
    <x v="4"/>
    <x v="3"/>
    <x v="1"/>
    <x v="1"/>
    <x v="6"/>
    <x v="76"/>
    <x v="95"/>
    <x v="4"/>
    <x v="4"/>
    <x v="80"/>
    <x v="80"/>
    <x v="1"/>
    <x v="1"/>
    <x v="1"/>
  </r>
  <r>
    <x v="9"/>
    <x v="6"/>
    <x v="1"/>
    <x v="1"/>
    <x v="1"/>
    <x v="1"/>
    <x v="68"/>
    <x v="96"/>
    <x v="1"/>
    <x v="1"/>
    <x v="1"/>
    <x v="1"/>
    <x v="1"/>
    <x v="1"/>
    <x v="1"/>
  </r>
  <r>
    <x v="30"/>
    <x v="21"/>
    <x v="2"/>
    <x v="1"/>
    <x v="1"/>
    <x v="1"/>
    <x v="77"/>
    <x v="97"/>
    <x v="17"/>
    <x v="17"/>
    <x v="81"/>
    <x v="81"/>
    <x v="1"/>
    <x v="1"/>
    <x v="1"/>
  </r>
  <r>
    <x v="28"/>
    <x v="3"/>
    <x v="3"/>
    <x v="1"/>
    <x v="1"/>
    <x v="1"/>
    <x v="18"/>
    <x v="35"/>
    <x v="3"/>
    <x v="3"/>
    <x v="82"/>
    <x v="82"/>
    <x v="1"/>
    <x v="1"/>
    <x v="1"/>
  </r>
  <r>
    <x v="14"/>
    <x v="20"/>
    <x v="2"/>
    <x v="1"/>
    <x v="1"/>
    <x v="1"/>
    <x v="48"/>
    <x v="56"/>
    <x v="16"/>
    <x v="16"/>
    <x v="83"/>
    <x v="83"/>
    <x v="1"/>
    <x v="1"/>
    <x v="1"/>
  </r>
  <r>
    <x v="14"/>
    <x v="20"/>
    <x v="2"/>
    <x v="1"/>
    <x v="1"/>
    <x v="1"/>
    <x v="67"/>
    <x v="98"/>
    <x v="16"/>
    <x v="16"/>
    <x v="84"/>
    <x v="84"/>
    <x v="1"/>
    <x v="1"/>
    <x v="1"/>
  </r>
  <r>
    <x v="14"/>
    <x v="20"/>
    <x v="2"/>
    <x v="1"/>
    <x v="1"/>
    <x v="1"/>
    <x v="44"/>
    <x v="52"/>
    <x v="16"/>
    <x v="16"/>
    <x v="85"/>
    <x v="85"/>
    <x v="1"/>
    <x v="1"/>
    <x v="1"/>
  </r>
  <r>
    <x v="28"/>
    <x v="3"/>
    <x v="3"/>
    <x v="1"/>
    <x v="1"/>
    <x v="1"/>
    <x v="44"/>
    <x v="52"/>
    <x v="3"/>
    <x v="3"/>
    <x v="86"/>
    <x v="86"/>
    <x v="1"/>
    <x v="1"/>
    <x v="1"/>
  </r>
  <r>
    <x v="9"/>
    <x v="6"/>
    <x v="1"/>
    <x v="1"/>
    <x v="1"/>
    <x v="1"/>
    <x v="48"/>
    <x v="56"/>
    <x v="1"/>
    <x v="1"/>
    <x v="1"/>
    <x v="1"/>
    <x v="1"/>
    <x v="1"/>
    <x v="1"/>
  </r>
  <r>
    <x v="9"/>
    <x v="6"/>
    <x v="1"/>
    <x v="1"/>
    <x v="1"/>
    <x v="1"/>
    <x v="78"/>
    <x v="99"/>
    <x v="1"/>
    <x v="1"/>
    <x v="1"/>
    <x v="1"/>
    <x v="1"/>
    <x v="1"/>
    <x v="1"/>
  </r>
  <r>
    <x v="9"/>
    <x v="6"/>
    <x v="1"/>
    <x v="1"/>
    <x v="1"/>
    <x v="1"/>
    <x v="50"/>
    <x v="59"/>
    <x v="1"/>
    <x v="1"/>
    <x v="1"/>
    <x v="1"/>
    <x v="1"/>
    <x v="1"/>
    <x v="1"/>
  </r>
  <r>
    <x v="5"/>
    <x v="4"/>
    <x v="3"/>
    <x v="1"/>
    <x v="1"/>
    <x v="6"/>
    <x v="32"/>
    <x v="100"/>
    <x v="4"/>
    <x v="4"/>
    <x v="87"/>
    <x v="87"/>
    <x v="1"/>
    <x v="1"/>
    <x v="1"/>
  </r>
  <r>
    <x v="30"/>
    <x v="21"/>
    <x v="2"/>
    <x v="1"/>
    <x v="1"/>
    <x v="1"/>
    <x v="79"/>
    <x v="101"/>
    <x v="17"/>
    <x v="17"/>
    <x v="88"/>
    <x v="88"/>
    <x v="1"/>
    <x v="1"/>
    <x v="1"/>
  </r>
  <r>
    <x v="30"/>
    <x v="21"/>
    <x v="2"/>
    <x v="1"/>
    <x v="1"/>
    <x v="1"/>
    <x v="80"/>
    <x v="5"/>
    <x v="17"/>
    <x v="17"/>
    <x v="89"/>
    <x v="89"/>
    <x v="1"/>
    <x v="1"/>
    <x v="1"/>
  </r>
  <r>
    <x v="13"/>
    <x v="9"/>
    <x v="2"/>
    <x v="1"/>
    <x v="1"/>
    <x v="1"/>
    <x v="50"/>
    <x v="59"/>
    <x v="8"/>
    <x v="8"/>
    <x v="55"/>
    <x v="55"/>
    <x v="1"/>
    <x v="1"/>
    <x v="1"/>
  </r>
  <r>
    <x v="13"/>
    <x v="9"/>
    <x v="2"/>
    <x v="1"/>
    <x v="1"/>
    <x v="1"/>
    <x v="36"/>
    <x v="45"/>
    <x v="8"/>
    <x v="8"/>
    <x v="39"/>
    <x v="39"/>
    <x v="1"/>
    <x v="1"/>
    <x v="1"/>
  </r>
  <r>
    <x v="9"/>
    <x v="6"/>
    <x v="1"/>
    <x v="1"/>
    <x v="1"/>
    <x v="9"/>
    <x v="81"/>
    <x v="102"/>
    <x v="1"/>
    <x v="1"/>
    <x v="1"/>
    <x v="1"/>
    <x v="1"/>
    <x v="1"/>
    <x v="1"/>
  </r>
  <r>
    <x v="9"/>
    <x v="6"/>
    <x v="1"/>
    <x v="1"/>
    <x v="1"/>
    <x v="1"/>
    <x v="28"/>
    <x v="36"/>
    <x v="1"/>
    <x v="1"/>
    <x v="1"/>
    <x v="1"/>
    <x v="1"/>
    <x v="1"/>
    <x v="1"/>
  </r>
  <r>
    <x v="9"/>
    <x v="6"/>
    <x v="1"/>
    <x v="1"/>
    <x v="1"/>
    <x v="6"/>
    <x v="82"/>
    <x v="103"/>
    <x v="1"/>
    <x v="1"/>
    <x v="1"/>
    <x v="1"/>
    <x v="1"/>
    <x v="1"/>
    <x v="1"/>
  </r>
  <r>
    <x v="13"/>
    <x v="9"/>
    <x v="2"/>
    <x v="1"/>
    <x v="1"/>
    <x v="1"/>
    <x v="83"/>
    <x v="104"/>
    <x v="8"/>
    <x v="8"/>
    <x v="90"/>
    <x v="90"/>
    <x v="1"/>
    <x v="1"/>
    <x v="1"/>
  </r>
  <r>
    <x v="13"/>
    <x v="9"/>
    <x v="2"/>
    <x v="1"/>
    <x v="1"/>
    <x v="1"/>
    <x v="39"/>
    <x v="47"/>
    <x v="8"/>
    <x v="8"/>
    <x v="43"/>
    <x v="43"/>
    <x v="1"/>
    <x v="1"/>
    <x v="1"/>
  </r>
  <r>
    <x v="9"/>
    <x v="6"/>
    <x v="1"/>
    <x v="1"/>
    <x v="1"/>
    <x v="6"/>
    <x v="84"/>
    <x v="105"/>
    <x v="1"/>
    <x v="1"/>
    <x v="1"/>
    <x v="1"/>
    <x v="1"/>
    <x v="1"/>
    <x v="1"/>
  </r>
  <r>
    <x v="13"/>
    <x v="9"/>
    <x v="2"/>
    <x v="1"/>
    <x v="1"/>
    <x v="4"/>
    <x v="85"/>
    <x v="106"/>
    <x v="8"/>
    <x v="8"/>
    <x v="91"/>
    <x v="91"/>
    <x v="1"/>
    <x v="1"/>
    <x v="1"/>
  </r>
  <r>
    <x v="13"/>
    <x v="9"/>
    <x v="2"/>
    <x v="1"/>
    <x v="1"/>
    <x v="6"/>
    <x v="78"/>
    <x v="27"/>
    <x v="8"/>
    <x v="8"/>
    <x v="92"/>
    <x v="92"/>
    <x v="1"/>
    <x v="1"/>
    <x v="1"/>
  </r>
  <r>
    <x v="13"/>
    <x v="9"/>
    <x v="2"/>
    <x v="1"/>
    <x v="1"/>
    <x v="6"/>
    <x v="86"/>
    <x v="107"/>
    <x v="8"/>
    <x v="8"/>
    <x v="93"/>
    <x v="93"/>
    <x v="1"/>
    <x v="1"/>
    <x v="1"/>
  </r>
  <r>
    <x v="13"/>
    <x v="9"/>
    <x v="2"/>
    <x v="1"/>
    <x v="1"/>
    <x v="6"/>
    <x v="42"/>
    <x v="108"/>
    <x v="8"/>
    <x v="8"/>
    <x v="94"/>
    <x v="94"/>
    <x v="1"/>
    <x v="1"/>
    <x v="1"/>
  </r>
  <r>
    <x v="13"/>
    <x v="9"/>
    <x v="2"/>
    <x v="1"/>
    <x v="1"/>
    <x v="6"/>
    <x v="25"/>
    <x v="109"/>
    <x v="8"/>
    <x v="8"/>
    <x v="95"/>
    <x v="95"/>
    <x v="1"/>
    <x v="1"/>
    <x v="1"/>
  </r>
  <r>
    <x v="13"/>
    <x v="9"/>
    <x v="2"/>
    <x v="1"/>
    <x v="1"/>
    <x v="6"/>
    <x v="38"/>
    <x v="110"/>
    <x v="8"/>
    <x v="8"/>
    <x v="96"/>
    <x v="96"/>
    <x v="1"/>
    <x v="1"/>
    <x v="1"/>
  </r>
  <r>
    <x v="13"/>
    <x v="9"/>
    <x v="2"/>
    <x v="1"/>
    <x v="1"/>
    <x v="6"/>
    <x v="87"/>
    <x v="111"/>
    <x v="8"/>
    <x v="8"/>
    <x v="97"/>
    <x v="97"/>
    <x v="1"/>
    <x v="1"/>
    <x v="1"/>
  </r>
  <r>
    <x v="13"/>
    <x v="9"/>
    <x v="2"/>
    <x v="1"/>
    <x v="1"/>
    <x v="6"/>
    <x v="88"/>
    <x v="112"/>
    <x v="8"/>
    <x v="8"/>
    <x v="98"/>
    <x v="98"/>
    <x v="1"/>
    <x v="1"/>
    <x v="1"/>
  </r>
  <r>
    <x v="7"/>
    <x v="2"/>
    <x v="2"/>
    <x v="1"/>
    <x v="1"/>
    <x v="1"/>
    <x v="89"/>
    <x v="113"/>
    <x v="2"/>
    <x v="2"/>
    <x v="99"/>
    <x v="99"/>
    <x v="1"/>
    <x v="1"/>
    <x v="1"/>
  </r>
  <r>
    <x v="8"/>
    <x v="5"/>
    <x v="2"/>
    <x v="1"/>
    <x v="1"/>
    <x v="14"/>
    <x v="20"/>
    <x v="114"/>
    <x v="5"/>
    <x v="5"/>
    <x v="100"/>
    <x v="100"/>
    <x v="1"/>
    <x v="1"/>
    <x v="1"/>
  </r>
  <r>
    <x v="21"/>
    <x v="14"/>
    <x v="1"/>
    <x v="2"/>
    <x v="1"/>
    <x v="12"/>
    <x v="90"/>
    <x v="115"/>
    <x v="1"/>
    <x v="1"/>
    <x v="1"/>
    <x v="1"/>
    <x v="1"/>
    <x v="1"/>
    <x v="1"/>
  </r>
  <r>
    <x v="21"/>
    <x v="14"/>
    <x v="1"/>
    <x v="2"/>
    <x v="1"/>
    <x v="15"/>
    <x v="90"/>
    <x v="116"/>
    <x v="1"/>
    <x v="1"/>
    <x v="1"/>
    <x v="1"/>
    <x v="1"/>
    <x v="1"/>
    <x v="1"/>
  </r>
  <r>
    <x v="21"/>
    <x v="14"/>
    <x v="1"/>
    <x v="2"/>
    <x v="1"/>
    <x v="8"/>
    <x v="44"/>
    <x v="117"/>
    <x v="1"/>
    <x v="1"/>
    <x v="1"/>
    <x v="1"/>
    <x v="1"/>
    <x v="1"/>
    <x v="1"/>
  </r>
  <r>
    <x v="21"/>
    <x v="14"/>
    <x v="1"/>
    <x v="2"/>
    <x v="1"/>
    <x v="13"/>
    <x v="40"/>
    <x v="118"/>
    <x v="1"/>
    <x v="1"/>
    <x v="1"/>
    <x v="1"/>
    <x v="1"/>
    <x v="1"/>
    <x v="1"/>
  </r>
  <r>
    <x v="0"/>
    <x v="0"/>
    <x v="0"/>
    <x v="0"/>
    <x v="0"/>
    <x v="0"/>
    <x v="0"/>
    <x v="0"/>
    <x v="0"/>
    <x v="0"/>
    <x v="0"/>
    <x v="0"/>
    <x v="0"/>
    <x v="0"/>
    <x v="0"/>
  </r>
  <r>
    <x v="31"/>
    <x v="22"/>
    <x v="3"/>
    <x v="1"/>
    <x v="1"/>
    <x v="1"/>
    <x v="91"/>
    <x v="119"/>
    <x v="18"/>
    <x v="18"/>
    <x v="101"/>
    <x v="101"/>
    <x v="1"/>
    <x v="1"/>
    <x v="1"/>
  </r>
  <r>
    <x v="31"/>
    <x v="22"/>
    <x v="3"/>
    <x v="1"/>
    <x v="1"/>
    <x v="1"/>
    <x v="92"/>
    <x v="120"/>
    <x v="18"/>
    <x v="18"/>
    <x v="102"/>
    <x v="102"/>
    <x v="1"/>
    <x v="1"/>
    <x v="1"/>
  </r>
  <r>
    <x v="31"/>
    <x v="22"/>
    <x v="3"/>
    <x v="1"/>
    <x v="1"/>
    <x v="1"/>
    <x v="93"/>
    <x v="121"/>
    <x v="18"/>
    <x v="18"/>
    <x v="103"/>
    <x v="103"/>
    <x v="1"/>
    <x v="1"/>
    <x v="1"/>
  </r>
  <r>
    <x v="31"/>
    <x v="22"/>
    <x v="3"/>
    <x v="1"/>
    <x v="1"/>
    <x v="1"/>
    <x v="94"/>
    <x v="122"/>
    <x v="18"/>
    <x v="18"/>
    <x v="104"/>
    <x v="104"/>
    <x v="1"/>
    <x v="1"/>
    <x v="1"/>
  </r>
  <r>
    <x v="31"/>
    <x v="22"/>
    <x v="3"/>
    <x v="1"/>
    <x v="1"/>
    <x v="1"/>
    <x v="95"/>
    <x v="123"/>
    <x v="18"/>
    <x v="18"/>
    <x v="105"/>
    <x v="105"/>
    <x v="1"/>
    <x v="1"/>
    <x v="1"/>
  </r>
  <r>
    <x v="31"/>
    <x v="22"/>
    <x v="3"/>
    <x v="1"/>
    <x v="1"/>
    <x v="1"/>
    <x v="96"/>
    <x v="124"/>
    <x v="18"/>
    <x v="18"/>
    <x v="106"/>
    <x v="106"/>
    <x v="1"/>
    <x v="1"/>
    <x v="1"/>
  </r>
  <r>
    <x v="31"/>
    <x v="22"/>
    <x v="3"/>
    <x v="1"/>
    <x v="1"/>
    <x v="1"/>
    <x v="97"/>
    <x v="125"/>
    <x v="18"/>
    <x v="18"/>
    <x v="107"/>
    <x v="107"/>
    <x v="1"/>
    <x v="1"/>
    <x v="1"/>
  </r>
  <r>
    <x v="31"/>
    <x v="22"/>
    <x v="3"/>
    <x v="1"/>
    <x v="1"/>
    <x v="1"/>
    <x v="98"/>
    <x v="126"/>
    <x v="18"/>
    <x v="18"/>
    <x v="108"/>
    <x v="108"/>
    <x v="1"/>
    <x v="1"/>
    <x v="1"/>
  </r>
  <r>
    <x v="31"/>
    <x v="22"/>
    <x v="3"/>
    <x v="1"/>
    <x v="1"/>
    <x v="1"/>
    <x v="99"/>
    <x v="127"/>
    <x v="18"/>
    <x v="18"/>
    <x v="109"/>
    <x v="109"/>
    <x v="1"/>
    <x v="1"/>
    <x v="1"/>
  </r>
  <r>
    <x v="31"/>
    <x v="22"/>
    <x v="3"/>
    <x v="1"/>
    <x v="1"/>
    <x v="1"/>
    <x v="100"/>
    <x v="128"/>
    <x v="18"/>
    <x v="18"/>
    <x v="110"/>
    <x v="110"/>
    <x v="1"/>
    <x v="1"/>
    <x v="1"/>
  </r>
  <r>
    <x v="32"/>
    <x v="3"/>
    <x v="3"/>
    <x v="1"/>
    <x v="1"/>
    <x v="16"/>
    <x v="101"/>
    <x v="129"/>
    <x v="3"/>
    <x v="3"/>
    <x v="111"/>
    <x v="111"/>
    <x v="1"/>
    <x v="1"/>
    <x v="1"/>
  </r>
  <r>
    <x v="0"/>
    <x v="0"/>
    <x v="0"/>
    <x v="0"/>
    <x v="0"/>
    <x v="0"/>
    <x v="0"/>
    <x v="0"/>
    <x v="0"/>
    <x v="0"/>
    <x v="0"/>
    <x v="0"/>
    <x v="0"/>
    <x v="0"/>
    <x v="0"/>
  </r>
  <r>
    <x v="1"/>
    <x v="1"/>
    <x v="1"/>
    <x v="1"/>
    <x v="1"/>
    <x v="1"/>
    <x v="102"/>
    <x v="130"/>
    <x v="1"/>
    <x v="1"/>
    <x v="1"/>
    <x v="1"/>
    <x v="1"/>
    <x v="1"/>
    <x v="1"/>
  </r>
  <r>
    <x v="1"/>
    <x v="1"/>
    <x v="1"/>
    <x v="1"/>
    <x v="1"/>
    <x v="1"/>
    <x v="53"/>
    <x v="62"/>
    <x v="1"/>
    <x v="1"/>
    <x v="1"/>
    <x v="1"/>
    <x v="1"/>
    <x v="1"/>
    <x v="1"/>
  </r>
  <r>
    <x v="1"/>
    <x v="1"/>
    <x v="1"/>
    <x v="1"/>
    <x v="1"/>
    <x v="1"/>
    <x v="3"/>
    <x v="3"/>
    <x v="1"/>
    <x v="1"/>
    <x v="1"/>
    <x v="1"/>
    <x v="1"/>
    <x v="1"/>
    <x v="1"/>
  </r>
  <r>
    <x v="1"/>
    <x v="1"/>
    <x v="1"/>
    <x v="1"/>
    <x v="1"/>
    <x v="1"/>
    <x v="2"/>
    <x v="2"/>
    <x v="1"/>
    <x v="1"/>
    <x v="1"/>
    <x v="1"/>
    <x v="1"/>
    <x v="1"/>
    <x v="1"/>
  </r>
  <r>
    <x v="14"/>
    <x v="20"/>
    <x v="2"/>
    <x v="1"/>
    <x v="1"/>
    <x v="1"/>
    <x v="103"/>
    <x v="131"/>
    <x v="16"/>
    <x v="16"/>
    <x v="112"/>
    <x v="112"/>
    <x v="1"/>
    <x v="1"/>
    <x v="1"/>
  </r>
  <r>
    <x v="3"/>
    <x v="2"/>
    <x v="2"/>
    <x v="1"/>
    <x v="1"/>
    <x v="6"/>
    <x v="66"/>
    <x v="63"/>
    <x v="2"/>
    <x v="2"/>
    <x v="113"/>
    <x v="113"/>
    <x v="1"/>
    <x v="1"/>
    <x v="1"/>
  </r>
  <r>
    <x v="7"/>
    <x v="2"/>
    <x v="2"/>
    <x v="1"/>
    <x v="1"/>
    <x v="1"/>
    <x v="104"/>
    <x v="132"/>
    <x v="2"/>
    <x v="2"/>
    <x v="114"/>
    <x v="114"/>
    <x v="1"/>
    <x v="1"/>
    <x v="1"/>
  </r>
  <r>
    <x v="7"/>
    <x v="2"/>
    <x v="2"/>
    <x v="1"/>
    <x v="1"/>
    <x v="1"/>
    <x v="105"/>
    <x v="133"/>
    <x v="2"/>
    <x v="2"/>
    <x v="115"/>
    <x v="115"/>
    <x v="1"/>
    <x v="1"/>
    <x v="1"/>
  </r>
  <r>
    <x v="7"/>
    <x v="2"/>
    <x v="2"/>
    <x v="1"/>
    <x v="1"/>
    <x v="1"/>
    <x v="106"/>
    <x v="134"/>
    <x v="2"/>
    <x v="2"/>
    <x v="116"/>
    <x v="116"/>
    <x v="1"/>
    <x v="1"/>
    <x v="1"/>
  </r>
  <r>
    <x v="14"/>
    <x v="20"/>
    <x v="2"/>
    <x v="1"/>
    <x v="1"/>
    <x v="1"/>
    <x v="107"/>
    <x v="135"/>
    <x v="16"/>
    <x v="16"/>
    <x v="117"/>
    <x v="117"/>
    <x v="1"/>
    <x v="1"/>
    <x v="1"/>
  </r>
  <r>
    <x v="33"/>
    <x v="23"/>
    <x v="1"/>
    <x v="1"/>
    <x v="1"/>
    <x v="6"/>
    <x v="72"/>
    <x v="136"/>
    <x v="1"/>
    <x v="1"/>
    <x v="1"/>
    <x v="1"/>
    <x v="1"/>
    <x v="1"/>
    <x v="1"/>
  </r>
  <r>
    <x v="34"/>
    <x v="24"/>
    <x v="3"/>
    <x v="1"/>
    <x v="1"/>
    <x v="1"/>
    <x v="108"/>
    <x v="137"/>
    <x v="19"/>
    <x v="19"/>
    <x v="118"/>
    <x v="118"/>
    <x v="1"/>
    <x v="1"/>
    <x v="1"/>
  </r>
  <r>
    <x v="12"/>
    <x v="2"/>
    <x v="2"/>
    <x v="1"/>
    <x v="1"/>
    <x v="1"/>
    <x v="109"/>
    <x v="138"/>
    <x v="2"/>
    <x v="2"/>
    <x v="119"/>
    <x v="119"/>
    <x v="1"/>
    <x v="1"/>
    <x v="1"/>
  </r>
  <r>
    <x v="12"/>
    <x v="2"/>
    <x v="2"/>
    <x v="1"/>
    <x v="1"/>
    <x v="1"/>
    <x v="110"/>
    <x v="139"/>
    <x v="2"/>
    <x v="2"/>
    <x v="120"/>
    <x v="120"/>
    <x v="1"/>
    <x v="1"/>
    <x v="1"/>
  </r>
  <r>
    <x v="1"/>
    <x v="1"/>
    <x v="1"/>
    <x v="1"/>
    <x v="1"/>
    <x v="1"/>
    <x v="111"/>
    <x v="140"/>
    <x v="1"/>
    <x v="1"/>
    <x v="1"/>
    <x v="1"/>
    <x v="1"/>
    <x v="1"/>
    <x v="1"/>
  </r>
  <r>
    <x v="1"/>
    <x v="1"/>
    <x v="1"/>
    <x v="1"/>
    <x v="1"/>
    <x v="9"/>
    <x v="112"/>
    <x v="141"/>
    <x v="1"/>
    <x v="1"/>
    <x v="1"/>
    <x v="1"/>
    <x v="1"/>
    <x v="1"/>
    <x v="1"/>
  </r>
  <r>
    <x v="1"/>
    <x v="1"/>
    <x v="1"/>
    <x v="1"/>
    <x v="1"/>
    <x v="1"/>
    <x v="113"/>
    <x v="142"/>
    <x v="1"/>
    <x v="1"/>
    <x v="1"/>
    <x v="1"/>
    <x v="1"/>
    <x v="1"/>
    <x v="1"/>
  </r>
  <r>
    <x v="1"/>
    <x v="1"/>
    <x v="1"/>
    <x v="1"/>
    <x v="1"/>
    <x v="1"/>
    <x v="31"/>
    <x v="40"/>
    <x v="1"/>
    <x v="1"/>
    <x v="1"/>
    <x v="1"/>
    <x v="1"/>
    <x v="1"/>
    <x v="1"/>
  </r>
  <r>
    <x v="1"/>
    <x v="1"/>
    <x v="1"/>
    <x v="1"/>
    <x v="1"/>
    <x v="1"/>
    <x v="5"/>
    <x v="8"/>
    <x v="1"/>
    <x v="1"/>
    <x v="1"/>
    <x v="1"/>
    <x v="1"/>
    <x v="1"/>
    <x v="1"/>
  </r>
  <r>
    <x v="1"/>
    <x v="1"/>
    <x v="1"/>
    <x v="1"/>
    <x v="1"/>
    <x v="6"/>
    <x v="114"/>
    <x v="143"/>
    <x v="1"/>
    <x v="1"/>
    <x v="1"/>
    <x v="1"/>
    <x v="1"/>
    <x v="1"/>
    <x v="1"/>
  </r>
  <r>
    <x v="33"/>
    <x v="23"/>
    <x v="1"/>
    <x v="1"/>
    <x v="1"/>
    <x v="6"/>
    <x v="115"/>
    <x v="144"/>
    <x v="1"/>
    <x v="1"/>
    <x v="1"/>
    <x v="1"/>
    <x v="1"/>
    <x v="1"/>
    <x v="1"/>
  </r>
  <r>
    <x v="12"/>
    <x v="2"/>
    <x v="2"/>
    <x v="1"/>
    <x v="1"/>
    <x v="1"/>
    <x v="116"/>
    <x v="145"/>
    <x v="2"/>
    <x v="2"/>
    <x v="121"/>
    <x v="121"/>
    <x v="1"/>
    <x v="1"/>
    <x v="1"/>
  </r>
  <r>
    <x v="35"/>
    <x v="23"/>
    <x v="1"/>
    <x v="1"/>
    <x v="1"/>
    <x v="1"/>
    <x v="86"/>
    <x v="146"/>
    <x v="1"/>
    <x v="1"/>
    <x v="1"/>
    <x v="1"/>
    <x v="1"/>
    <x v="1"/>
    <x v="1"/>
  </r>
  <r>
    <x v="7"/>
    <x v="2"/>
    <x v="2"/>
    <x v="1"/>
    <x v="1"/>
    <x v="1"/>
    <x v="117"/>
    <x v="147"/>
    <x v="2"/>
    <x v="2"/>
    <x v="122"/>
    <x v="122"/>
    <x v="1"/>
    <x v="1"/>
    <x v="1"/>
  </r>
  <r>
    <x v="7"/>
    <x v="2"/>
    <x v="2"/>
    <x v="1"/>
    <x v="1"/>
    <x v="1"/>
    <x v="118"/>
    <x v="148"/>
    <x v="2"/>
    <x v="2"/>
    <x v="123"/>
    <x v="123"/>
    <x v="1"/>
    <x v="1"/>
    <x v="1"/>
  </r>
  <r>
    <x v="7"/>
    <x v="2"/>
    <x v="2"/>
    <x v="1"/>
    <x v="1"/>
    <x v="1"/>
    <x v="119"/>
    <x v="149"/>
    <x v="2"/>
    <x v="2"/>
    <x v="124"/>
    <x v="124"/>
    <x v="1"/>
    <x v="1"/>
    <x v="1"/>
  </r>
  <r>
    <x v="7"/>
    <x v="2"/>
    <x v="2"/>
    <x v="1"/>
    <x v="1"/>
    <x v="1"/>
    <x v="86"/>
    <x v="146"/>
    <x v="2"/>
    <x v="2"/>
    <x v="125"/>
    <x v="125"/>
    <x v="1"/>
    <x v="1"/>
    <x v="1"/>
  </r>
  <r>
    <x v="7"/>
    <x v="2"/>
    <x v="2"/>
    <x v="1"/>
    <x v="1"/>
    <x v="1"/>
    <x v="14"/>
    <x v="150"/>
    <x v="2"/>
    <x v="2"/>
    <x v="126"/>
    <x v="126"/>
    <x v="1"/>
    <x v="1"/>
    <x v="1"/>
  </r>
  <r>
    <x v="7"/>
    <x v="2"/>
    <x v="2"/>
    <x v="1"/>
    <x v="1"/>
    <x v="1"/>
    <x v="120"/>
    <x v="151"/>
    <x v="2"/>
    <x v="2"/>
    <x v="127"/>
    <x v="127"/>
    <x v="1"/>
    <x v="1"/>
    <x v="1"/>
  </r>
  <r>
    <x v="2"/>
    <x v="1"/>
    <x v="1"/>
    <x v="1"/>
    <x v="1"/>
    <x v="17"/>
    <x v="5"/>
    <x v="152"/>
    <x v="1"/>
    <x v="1"/>
    <x v="1"/>
    <x v="1"/>
    <x v="1"/>
    <x v="1"/>
    <x v="1"/>
  </r>
  <r>
    <x v="2"/>
    <x v="1"/>
    <x v="1"/>
    <x v="1"/>
    <x v="1"/>
    <x v="17"/>
    <x v="121"/>
    <x v="153"/>
    <x v="1"/>
    <x v="1"/>
    <x v="1"/>
    <x v="1"/>
    <x v="1"/>
    <x v="1"/>
    <x v="1"/>
  </r>
  <r>
    <x v="1"/>
    <x v="1"/>
    <x v="1"/>
    <x v="1"/>
    <x v="1"/>
    <x v="4"/>
    <x v="122"/>
    <x v="66"/>
    <x v="1"/>
    <x v="1"/>
    <x v="1"/>
    <x v="1"/>
    <x v="1"/>
    <x v="1"/>
    <x v="1"/>
  </r>
  <r>
    <x v="5"/>
    <x v="4"/>
    <x v="3"/>
    <x v="1"/>
    <x v="1"/>
    <x v="1"/>
    <x v="123"/>
    <x v="154"/>
    <x v="4"/>
    <x v="4"/>
    <x v="128"/>
    <x v="128"/>
    <x v="1"/>
    <x v="1"/>
    <x v="1"/>
  </r>
  <r>
    <x v="5"/>
    <x v="4"/>
    <x v="3"/>
    <x v="1"/>
    <x v="1"/>
    <x v="1"/>
    <x v="124"/>
    <x v="155"/>
    <x v="4"/>
    <x v="4"/>
    <x v="129"/>
    <x v="129"/>
    <x v="1"/>
    <x v="1"/>
    <x v="1"/>
  </r>
  <r>
    <x v="5"/>
    <x v="4"/>
    <x v="3"/>
    <x v="1"/>
    <x v="1"/>
    <x v="1"/>
    <x v="125"/>
    <x v="156"/>
    <x v="4"/>
    <x v="4"/>
    <x v="130"/>
    <x v="130"/>
    <x v="1"/>
    <x v="1"/>
    <x v="1"/>
  </r>
  <r>
    <x v="5"/>
    <x v="4"/>
    <x v="3"/>
    <x v="1"/>
    <x v="1"/>
    <x v="1"/>
    <x v="126"/>
    <x v="157"/>
    <x v="4"/>
    <x v="4"/>
    <x v="131"/>
    <x v="131"/>
    <x v="1"/>
    <x v="1"/>
    <x v="1"/>
  </r>
  <r>
    <x v="5"/>
    <x v="4"/>
    <x v="3"/>
    <x v="1"/>
    <x v="1"/>
    <x v="1"/>
    <x v="18"/>
    <x v="35"/>
    <x v="4"/>
    <x v="4"/>
    <x v="132"/>
    <x v="132"/>
    <x v="1"/>
    <x v="1"/>
    <x v="1"/>
  </r>
  <r>
    <x v="6"/>
    <x v="3"/>
    <x v="3"/>
    <x v="1"/>
    <x v="1"/>
    <x v="1"/>
    <x v="3"/>
    <x v="3"/>
    <x v="3"/>
    <x v="3"/>
    <x v="133"/>
    <x v="133"/>
    <x v="1"/>
    <x v="1"/>
    <x v="1"/>
  </r>
  <r>
    <x v="6"/>
    <x v="3"/>
    <x v="3"/>
    <x v="1"/>
    <x v="1"/>
    <x v="1"/>
    <x v="115"/>
    <x v="158"/>
    <x v="3"/>
    <x v="3"/>
    <x v="134"/>
    <x v="134"/>
    <x v="1"/>
    <x v="1"/>
    <x v="1"/>
  </r>
  <r>
    <x v="6"/>
    <x v="3"/>
    <x v="3"/>
    <x v="1"/>
    <x v="1"/>
    <x v="4"/>
    <x v="3"/>
    <x v="159"/>
    <x v="3"/>
    <x v="3"/>
    <x v="135"/>
    <x v="135"/>
    <x v="1"/>
    <x v="1"/>
    <x v="1"/>
  </r>
  <r>
    <x v="6"/>
    <x v="3"/>
    <x v="3"/>
    <x v="1"/>
    <x v="1"/>
    <x v="1"/>
    <x v="22"/>
    <x v="29"/>
    <x v="3"/>
    <x v="3"/>
    <x v="136"/>
    <x v="136"/>
    <x v="1"/>
    <x v="1"/>
    <x v="1"/>
  </r>
  <r>
    <x v="6"/>
    <x v="3"/>
    <x v="3"/>
    <x v="1"/>
    <x v="1"/>
    <x v="1"/>
    <x v="21"/>
    <x v="160"/>
    <x v="3"/>
    <x v="3"/>
    <x v="137"/>
    <x v="137"/>
    <x v="1"/>
    <x v="1"/>
    <x v="1"/>
  </r>
  <r>
    <x v="36"/>
    <x v="25"/>
    <x v="2"/>
    <x v="1"/>
    <x v="1"/>
    <x v="1"/>
    <x v="17"/>
    <x v="23"/>
    <x v="20"/>
    <x v="20"/>
    <x v="138"/>
    <x v="138"/>
    <x v="1"/>
    <x v="1"/>
    <x v="1"/>
  </r>
  <r>
    <x v="29"/>
    <x v="4"/>
    <x v="3"/>
    <x v="1"/>
    <x v="1"/>
    <x v="18"/>
    <x v="127"/>
    <x v="161"/>
    <x v="4"/>
    <x v="4"/>
    <x v="139"/>
    <x v="139"/>
    <x v="1"/>
    <x v="1"/>
    <x v="1"/>
  </r>
  <r>
    <x v="4"/>
    <x v="3"/>
    <x v="3"/>
    <x v="1"/>
    <x v="1"/>
    <x v="13"/>
    <x v="127"/>
    <x v="162"/>
    <x v="3"/>
    <x v="3"/>
    <x v="140"/>
    <x v="140"/>
    <x v="1"/>
    <x v="1"/>
    <x v="1"/>
  </r>
  <r>
    <x v="4"/>
    <x v="3"/>
    <x v="3"/>
    <x v="1"/>
    <x v="1"/>
    <x v="1"/>
    <x v="101"/>
    <x v="163"/>
    <x v="3"/>
    <x v="3"/>
    <x v="141"/>
    <x v="141"/>
    <x v="1"/>
    <x v="1"/>
    <x v="1"/>
  </r>
  <r>
    <x v="4"/>
    <x v="3"/>
    <x v="3"/>
    <x v="1"/>
    <x v="1"/>
    <x v="1"/>
    <x v="110"/>
    <x v="139"/>
    <x v="3"/>
    <x v="3"/>
    <x v="142"/>
    <x v="142"/>
    <x v="1"/>
    <x v="1"/>
    <x v="1"/>
  </r>
  <r>
    <x v="5"/>
    <x v="4"/>
    <x v="3"/>
    <x v="1"/>
    <x v="1"/>
    <x v="1"/>
    <x v="128"/>
    <x v="164"/>
    <x v="4"/>
    <x v="4"/>
    <x v="143"/>
    <x v="143"/>
    <x v="1"/>
    <x v="1"/>
    <x v="1"/>
  </r>
  <r>
    <x v="33"/>
    <x v="23"/>
    <x v="1"/>
    <x v="1"/>
    <x v="1"/>
    <x v="1"/>
    <x v="20"/>
    <x v="165"/>
    <x v="1"/>
    <x v="1"/>
    <x v="1"/>
    <x v="1"/>
    <x v="1"/>
    <x v="1"/>
    <x v="1"/>
  </r>
  <r>
    <x v="35"/>
    <x v="23"/>
    <x v="1"/>
    <x v="1"/>
    <x v="1"/>
    <x v="1"/>
    <x v="86"/>
    <x v="146"/>
    <x v="1"/>
    <x v="1"/>
    <x v="1"/>
    <x v="1"/>
    <x v="1"/>
    <x v="1"/>
    <x v="1"/>
  </r>
  <r>
    <x v="7"/>
    <x v="2"/>
    <x v="2"/>
    <x v="1"/>
    <x v="1"/>
    <x v="1"/>
    <x v="3"/>
    <x v="3"/>
    <x v="2"/>
    <x v="2"/>
    <x v="144"/>
    <x v="144"/>
    <x v="1"/>
    <x v="1"/>
    <x v="1"/>
  </r>
  <r>
    <x v="7"/>
    <x v="2"/>
    <x v="2"/>
    <x v="1"/>
    <x v="1"/>
    <x v="1"/>
    <x v="129"/>
    <x v="166"/>
    <x v="2"/>
    <x v="2"/>
    <x v="145"/>
    <x v="145"/>
    <x v="1"/>
    <x v="1"/>
    <x v="1"/>
  </r>
  <r>
    <x v="7"/>
    <x v="2"/>
    <x v="2"/>
    <x v="1"/>
    <x v="1"/>
    <x v="1"/>
    <x v="13"/>
    <x v="19"/>
    <x v="2"/>
    <x v="2"/>
    <x v="146"/>
    <x v="146"/>
    <x v="1"/>
    <x v="1"/>
    <x v="1"/>
  </r>
  <r>
    <x v="7"/>
    <x v="2"/>
    <x v="2"/>
    <x v="1"/>
    <x v="1"/>
    <x v="1"/>
    <x v="88"/>
    <x v="167"/>
    <x v="2"/>
    <x v="2"/>
    <x v="147"/>
    <x v="147"/>
    <x v="1"/>
    <x v="1"/>
    <x v="1"/>
  </r>
  <r>
    <x v="7"/>
    <x v="2"/>
    <x v="2"/>
    <x v="1"/>
    <x v="1"/>
    <x v="1"/>
    <x v="18"/>
    <x v="35"/>
    <x v="2"/>
    <x v="2"/>
    <x v="148"/>
    <x v="148"/>
    <x v="1"/>
    <x v="1"/>
    <x v="1"/>
  </r>
  <r>
    <x v="7"/>
    <x v="2"/>
    <x v="2"/>
    <x v="1"/>
    <x v="1"/>
    <x v="1"/>
    <x v="13"/>
    <x v="19"/>
    <x v="2"/>
    <x v="2"/>
    <x v="146"/>
    <x v="146"/>
    <x v="1"/>
    <x v="1"/>
    <x v="1"/>
  </r>
  <r>
    <x v="7"/>
    <x v="2"/>
    <x v="2"/>
    <x v="1"/>
    <x v="1"/>
    <x v="1"/>
    <x v="35"/>
    <x v="44"/>
    <x v="2"/>
    <x v="2"/>
    <x v="149"/>
    <x v="149"/>
    <x v="1"/>
    <x v="1"/>
    <x v="1"/>
  </r>
  <r>
    <x v="7"/>
    <x v="2"/>
    <x v="2"/>
    <x v="1"/>
    <x v="1"/>
    <x v="1"/>
    <x v="3"/>
    <x v="3"/>
    <x v="2"/>
    <x v="2"/>
    <x v="144"/>
    <x v="144"/>
    <x v="1"/>
    <x v="1"/>
    <x v="1"/>
  </r>
  <r>
    <x v="7"/>
    <x v="2"/>
    <x v="2"/>
    <x v="1"/>
    <x v="1"/>
    <x v="1"/>
    <x v="32"/>
    <x v="41"/>
    <x v="2"/>
    <x v="2"/>
    <x v="34"/>
    <x v="34"/>
    <x v="1"/>
    <x v="1"/>
    <x v="1"/>
  </r>
  <r>
    <x v="2"/>
    <x v="1"/>
    <x v="1"/>
    <x v="1"/>
    <x v="1"/>
    <x v="18"/>
    <x v="5"/>
    <x v="168"/>
    <x v="1"/>
    <x v="1"/>
    <x v="1"/>
    <x v="1"/>
    <x v="1"/>
    <x v="1"/>
    <x v="1"/>
  </r>
  <r>
    <x v="2"/>
    <x v="1"/>
    <x v="1"/>
    <x v="1"/>
    <x v="1"/>
    <x v="17"/>
    <x v="121"/>
    <x v="153"/>
    <x v="1"/>
    <x v="1"/>
    <x v="1"/>
    <x v="1"/>
    <x v="1"/>
    <x v="1"/>
    <x v="1"/>
  </r>
  <r>
    <x v="4"/>
    <x v="3"/>
    <x v="3"/>
    <x v="1"/>
    <x v="1"/>
    <x v="13"/>
    <x v="127"/>
    <x v="162"/>
    <x v="3"/>
    <x v="3"/>
    <x v="140"/>
    <x v="140"/>
    <x v="1"/>
    <x v="1"/>
    <x v="1"/>
  </r>
  <r>
    <x v="4"/>
    <x v="3"/>
    <x v="3"/>
    <x v="1"/>
    <x v="1"/>
    <x v="1"/>
    <x v="101"/>
    <x v="163"/>
    <x v="3"/>
    <x v="3"/>
    <x v="141"/>
    <x v="141"/>
    <x v="1"/>
    <x v="1"/>
    <x v="1"/>
  </r>
  <r>
    <x v="4"/>
    <x v="3"/>
    <x v="3"/>
    <x v="1"/>
    <x v="1"/>
    <x v="1"/>
    <x v="110"/>
    <x v="139"/>
    <x v="3"/>
    <x v="3"/>
    <x v="142"/>
    <x v="142"/>
    <x v="1"/>
    <x v="1"/>
    <x v="1"/>
  </r>
  <r>
    <x v="35"/>
    <x v="23"/>
    <x v="1"/>
    <x v="1"/>
    <x v="1"/>
    <x v="1"/>
    <x v="130"/>
    <x v="57"/>
    <x v="1"/>
    <x v="1"/>
    <x v="1"/>
    <x v="1"/>
    <x v="1"/>
    <x v="1"/>
    <x v="1"/>
  </r>
  <r>
    <x v="12"/>
    <x v="2"/>
    <x v="2"/>
    <x v="1"/>
    <x v="1"/>
    <x v="1"/>
    <x v="5"/>
    <x v="8"/>
    <x v="2"/>
    <x v="2"/>
    <x v="150"/>
    <x v="150"/>
    <x v="1"/>
    <x v="1"/>
    <x v="1"/>
  </r>
  <r>
    <x v="13"/>
    <x v="9"/>
    <x v="2"/>
    <x v="1"/>
    <x v="1"/>
    <x v="1"/>
    <x v="49"/>
    <x v="169"/>
    <x v="8"/>
    <x v="8"/>
    <x v="151"/>
    <x v="151"/>
    <x v="1"/>
    <x v="1"/>
    <x v="1"/>
  </r>
  <r>
    <x v="13"/>
    <x v="9"/>
    <x v="2"/>
    <x v="1"/>
    <x v="1"/>
    <x v="1"/>
    <x v="131"/>
    <x v="170"/>
    <x v="8"/>
    <x v="8"/>
    <x v="152"/>
    <x v="152"/>
    <x v="1"/>
    <x v="1"/>
    <x v="1"/>
  </r>
  <r>
    <x v="13"/>
    <x v="9"/>
    <x v="2"/>
    <x v="1"/>
    <x v="1"/>
    <x v="1"/>
    <x v="38"/>
    <x v="46"/>
    <x v="8"/>
    <x v="8"/>
    <x v="42"/>
    <x v="42"/>
    <x v="1"/>
    <x v="1"/>
    <x v="1"/>
  </r>
  <r>
    <x v="13"/>
    <x v="9"/>
    <x v="2"/>
    <x v="1"/>
    <x v="1"/>
    <x v="1"/>
    <x v="51"/>
    <x v="60"/>
    <x v="8"/>
    <x v="8"/>
    <x v="56"/>
    <x v="56"/>
    <x v="1"/>
    <x v="1"/>
    <x v="1"/>
  </r>
  <r>
    <x v="13"/>
    <x v="9"/>
    <x v="2"/>
    <x v="1"/>
    <x v="1"/>
    <x v="1"/>
    <x v="42"/>
    <x v="50"/>
    <x v="8"/>
    <x v="8"/>
    <x v="46"/>
    <x v="46"/>
    <x v="1"/>
    <x v="1"/>
    <x v="1"/>
  </r>
  <r>
    <x v="13"/>
    <x v="9"/>
    <x v="2"/>
    <x v="1"/>
    <x v="1"/>
    <x v="1"/>
    <x v="131"/>
    <x v="170"/>
    <x v="8"/>
    <x v="8"/>
    <x v="152"/>
    <x v="152"/>
    <x v="1"/>
    <x v="1"/>
    <x v="1"/>
  </r>
  <r>
    <x v="37"/>
    <x v="23"/>
    <x v="1"/>
    <x v="1"/>
    <x v="1"/>
    <x v="6"/>
    <x v="24"/>
    <x v="32"/>
    <x v="1"/>
    <x v="1"/>
    <x v="1"/>
    <x v="1"/>
    <x v="1"/>
    <x v="1"/>
    <x v="1"/>
  </r>
  <r>
    <x v="14"/>
    <x v="20"/>
    <x v="2"/>
    <x v="1"/>
    <x v="1"/>
    <x v="1"/>
    <x v="58"/>
    <x v="7"/>
    <x v="16"/>
    <x v="16"/>
    <x v="153"/>
    <x v="153"/>
    <x v="1"/>
    <x v="1"/>
    <x v="1"/>
  </r>
  <r>
    <x v="13"/>
    <x v="9"/>
    <x v="2"/>
    <x v="1"/>
    <x v="1"/>
    <x v="1"/>
    <x v="37"/>
    <x v="37"/>
    <x v="8"/>
    <x v="8"/>
    <x v="40"/>
    <x v="40"/>
    <x v="1"/>
    <x v="1"/>
    <x v="1"/>
  </r>
  <r>
    <x v="13"/>
    <x v="9"/>
    <x v="2"/>
    <x v="1"/>
    <x v="1"/>
    <x v="1"/>
    <x v="48"/>
    <x v="56"/>
    <x v="8"/>
    <x v="8"/>
    <x v="52"/>
    <x v="52"/>
    <x v="1"/>
    <x v="1"/>
    <x v="1"/>
  </r>
  <r>
    <x v="9"/>
    <x v="6"/>
    <x v="1"/>
    <x v="1"/>
    <x v="1"/>
    <x v="6"/>
    <x v="3"/>
    <x v="25"/>
    <x v="1"/>
    <x v="1"/>
    <x v="1"/>
    <x v="1"/>
    <x v="1"/>
    <x v="1"/>
    <x v="1"/>
  </r>
  <r>
    <x v="5"/>
    <x v="4"/>
    <x v="3"/>
    <x v="1"/>
    <x v="1"/>
    <x v="1"/>
    <x v="123"/>
    <x v="154"/>
    <x v="4"/>
    <x v="4"/>
    <x v="128"/>
    <x v="128"/>
    <x v="1"/>
    <x v="1"/>
    <x v="1"/>
  </r>
  <r>
    <x v="5"/>
    <x v="4"/>
    <x v="3"/>
    <x v="1"/>
    <x v="1"/>
    <x v="1"/>
    <x v="124"/>
    <x v="155"/>
    <x v="4"/>
    <x v="4"/>
    <x v="129"/>
    <x v="129"/>
    <x v="1"/>
    <x v="1"/>
    <x v="1"/>
  </r>
  <r>
    <x v="5"/>
    <x v="4"/>
    <x v="3"/>
    <x v="1"/>
    <x v="1"/>
    <x v="1"/>
    <x v="125"/>
    <x v="156"/>
    <x v="4"/>
    <x v="4"/>
    <x v="130"/>
    <x v="130"/>
    <x v="1"/>
    <x v="1"/>
    <x v="1"/>
  </r>
  <r>
    <x v="5"/>
    <x v="4"/>
    <x v="3"/>
    <x v="1"/>
    <x v="1"/>
    <x v="1"/>
    <x v="126"/>
    <x v="157"/>
    <x v="4"/>
    <x v="4"/>
    <x v="131"/>
    <x v="131"/>
    <x v="1"/>
    <x v="1"/>
    <x v="1"/>
  </r>
  <r>
    <x v="5"/>
    <x v="4"/>
    <x v="3"/>
    <x v="1"/>
    <x v="1"/>
    <x v="1"/>
    <x v="18"/>
    <x v="35"/>
    <x v="4"/>
    <x v="4"/>
    <x v="132"/>
    <x v="132"/>
    <x v="1"/>
    <x v="1"/>
    <x v="1"/>
  </r>
  <r>
    <x v="6"/>
    <x v="3"/>
    <x v="3"/>
    <x v="1"/>
    <x v="1"/>
    <x v="1"/>
    <x v="3"/>
    <x v="3"/>
    <x v="3"/>
    <x v="3"/>
    <x v="133"/>
    <x v="133"/>
    <x v="1"/>
    <x v="1"/>
    <x v="1"/>
  </r>
  <r>
    <x v="6"/>
    <x v="3"/>
    <x v="3"/>
    <x v="1"/>
    <x v="1"/>
    <x v="1"/>
    <x v="115"/>
    <x v="158"/>
    <x v="3"/>
    <x v="3"/>
    <x v="134"/>
    <x v="134"/>
    <x v="1"/>
    <x v="1"/>
    <x v="1"/>
  </r>
  <r>
    <x v="6"/>
    <x v="3"/>
    <x v="3"/>
    <x v="1"/>
    <x v="1"/>
    <x v="4"/>
    <x v="3"/>
    <x v="159"/>
    <x v="3"/>
    <x v="3"/>
    <x v="135"/>
    <x v="135"/>
    <x v="1"/>
    <x v="1"/>
    <x v="1"/>
  </r>
  <r>
    <x v="6"/>
    <x v="3"/>
    <x v="3"/>
    <x v="1"/>
    <x v="1"/>
    <x v="1"/>
    <x v="22"/>
    <x v="29"/>
    <x v="3"/>
    <x v="3"/>
    <x v="136"/>
    <x v="136"/>
    <x v="1"/>
    <x v="1"/>
    <x v="1"/>
  </r>
  <r>
    <x v="6"/>
    <x v="3"/>
    <x v="3"/>
    <x v="1"/>
    <x v="1"/>
    <x v="1"/>
    <x v="21"/>
    <x v="160"/>
    <x v="3"/>
    <x v="3"/>
    <x v="137"/>
    <x v="137"/>
    <x v="1"/>
    <x v="1"/>
    <x v="1"/>
  </r>
  <r>
    <x v="17"/>
    <x v="2"/>
    <x v="2"/>
    <x v="1"/>
    <x v="1"/>
    <x v="6"/>
    <x v="52"/>
    <x v="67"/>
    <x v="2"/>
    <x v="2"/>
    <x v="60"/>
    <x v="60"/>
    <x v="1"/>
    <x v="1"/>
    <x v="1"/>
  </r>
  <r>
    <x v="38"/>
    <x v="23"/>
    <x v="1"/>
    <x v="1"/>
    <x v="1"/>
    <x v="1"/>
    <x v="132"/>
    <x v="171"/>
    <x v="1"/>
    <x v="1"/>
    <x v="1"/>
    <x v="1"/>
    <x v="1"/>
    <x v="1"/>
    <x v="1"/>
  </r>
  <r>
    <x v="3"/>
    <x v="2"/>
    <x v="2"/>
    <x v="1"/>
    <x v="1"/>
    <x v="1"/>
    <x v="66"/>
    <x v="172"/>
    <x v="2"/>
    <x v="2"/>
    <x v="154"/>
    <x v="154"/>
    <x v="1"/>
    <x v="1"/>
    <x v="1"/>
  </r>
  <r>
    <x v="18"/>
    <x v="11"/>
    <x v="2"/>
    <x v="1"/>
    <x v="1"/>
    <x v="6"/>
    <x v="46"/>
    <x v="173"/>
    <x v="9"/>
    <x v="9"/>
    <x v="155"/>
    <x v="155"/>
    <x v="1"/>
    <x v="1"/>
    <x v="1"/>
  </r>
  <r>
    <x v="13"/>
    <x v="9"/>
    <x v="2"/>
    <x v="1"/>
    <x v="1"/>
    <x v="1"/>
    <x v="47"/>
    <x v="174"/>
    <x v="8"/>
    <x v="8"/>
    <x v="156"/>
    <x v="156"/>
    <x v="1"/>
    <x v="1"/>
    <x v="1"/>
  </r>
  <r>
    <x v="13"/>
    <x v="9"/>
    <x v="2"/>
    <x v="1"/>
    <x v="1"/>
    <x v="1"/>
    <x v="36"/>
    <x v="45"/>
    <x v="8"/>
    <x v="8"/>
    <x v="39"/>
    <x v="39"/>
    <x v="1"/>
    <x v="1"/>
    <x v="1"/>
  </r>
  <r>
    <x v="9"/>
    <x v="6"/>
    <x v="1"/>
    <x v="1"/>
    <x v="1"/>
    <x v="1"/>
    <x v="30"/>
    <x v="39"/>
    <x v="1"/>
    <x v="1"/>
    <x v="1"/>
    <x v="1"/>
    <x v="1"/>
    <x v="1"/>
    <x v="1"/>
  </r>
  <r>
    <x v="38"/>
    <x v="23"/>
    <x v="1"/>
    <x v="1"/>
    <x v="1"/>
    <x v="1"/>
    <x v="77"/>
    <x v="97"/>
    <x v="1"/>
    <x v="1"/>
    <x v="1"/>
    <x v="1"/>
    <x v="1"/>
    <x v="1"/>
    <x v="1"/>
  </r>
  <r>
    <x v="3"/>
    <x v="2"/>
    <x v="2"/>
    <x v="1"/>
    <x v="1"/>
    <x v="9"/>
    <x v="66"/>
    <x v="175"/>
    <x v="2"/>
    <x v="2"/>
    <x v="157"/>
    <x v="157"/>
    <x v="1"/>
    <x v="1"/>
    <x v="1"/>
  </r>
  <r>
    <x v="14"/>
    <x v="20"/>
    <x v="2"/>
    <x v="1"/>
    <x v="1"/>
    <x v="1"/>
    <x v="133"/>
    <x v="67"/>
    <x v="16"/>
    <x v="16"/>
    <x v="158"/>
    <x v="158"/>
    <x v="1"/>
    <x v="1"/>
    <x v="1"/>
  </r>
  <r>
    <x v="13"/>
    <x v="9"/>
    <x v="2"/>
    <x v="1"/>
    <x v="1"/>
    <x v="1"/>
    <x v="48"/>
    <x v="56"/>
    <x v="8"/>
    <x v="8"/>
    <x v="52"/>
    <x v="52"/>
    <x v="1"/>
    <x v="1"/>
    <x v="1"/>
  </r>
  <r>
    <x v="13"/>
    <x v="9"/>
    <x v="2"/>
    <x v="1"/>
    <x v="1"/>
    <x v="1"/>
    <x v="48"/>
    <x v="56"/>
    <x v="8"/>
    <x v="8"/>
    <x v="52"/>
    <x v="52"/>
    <x v="1"/>
    <x v="1"/>
    <x v="1"/>
  </r>
  <r>
    <x v="9"/>
    <x v="6"/>
    <x v="1"/>
    <x v="1"/>
    <x v="1"/>
    <x v="6"/>
    <x v="3"/>
    <x v="25"/>
    <x v="1"/>
    <x v="1"/>
    <x v="1"/>
    <x v="1"/>
    <x v="1"/>
    <x v="1"/>
    <x v="1"/>
  </r>
  <r>
    <x v="13"/>
    <x v="9"/>
    <x v="2"/>
    <x v="1"/>
    <x v="1"/>
    <x v="1"/>
    <x v="77"/>
    <x v="97"/>
    <x v="8"/>
    <x v="8"/>
    <x v="159"/>
    <x v="159"/>
    <x v="1"/>
    <x v="1"/>
    <x v="1"/>
  </r>
  <r>
    <x v="13"/>
    <x v="9"/>
    <x v="2"/>
    <x v="1"/>
    <x v="1"/>
    <x v="1"/>
    <x v="134"/>
    <x v="176"/>
    <x v="8"/>
    <x v="8"/>
    <x v="160"/>
    <x v="160"/>
    <x v="1"/>
    <x v="1"/>
    <x v="1"/>
  </r>
  <r>
    <x v="10"/>
    <x v="7"/>
    <x v="3"/>
    <x v="1"/>
    <x v="1"/>
    <x v="1"/>
    <x v="38"/>
    <x v="46"/>
    <x v="6"/>
    <x v="6"/>
    <x v="161"/>
    <x v="161"/>
    <x v="1"/>
    <x v="1"/>
    <x v="1"/>
  </r>
  <r>
    <x v="10"/>
    <x v="7"/>
    <x v="3"/>
    <x v="1"/>
    <x v="1"/>
    <x v="1"/>
    <x v="60"/>
    <x v="177"/>
    <x v="6"/>
    <x v="6"/>
    <x v="162"/>
    <x v="162"/>
    <x v="1"/>
    <x v="1"/>
    <x v="1"/>
  </r>
  <r>
    <x v="1"/>
    <x v="1"/>
    <x v="1"/>
    <x v="1"/>
    <x v="1"/>
    <x v="9"/>
    <x v="122"/>
    <x v="178"/>
    <x v="1"/>
    <x v="1"/>
    <x v="1"/>
    <x v="1"/>
    <x v="1"/>
    <x v="1"/>
    <x v="1"/>
  </r>
  <r>
    <x v="3"/>
    <x v="2"/>
    <x v="2"/>
    <x v="1"/>
    <x v="1"/>
    <x v="6"/>
    <x v="66"/>
    <x v="63"/>
    <x v="2"/>
    <x v="2"/>
    <x v="113"/>
    <x v="113"/>
    <x v="1"/>
    <x v="1"/>
    <x v="1"/>
  </r>
  <r>
    <x v="1"/>
    <x v="1"/>
    <x v="1"/>
    <x v="1"/>
    <x v="1"/>
    <x v="14"/>
    <x v="122"/>
    <x v="179"/>
    <x v="1"/>
    <x v="1"/>
    <x v="1"/>
    <x v="1"/>
    <x v="1"/>
    <x v="1"/>
    <x v="1"/>
  </r>
  <r>
    <x v="14"/>
    <x v="20"/>
    <x v="2"/>
    <x v="1"/>
    <x v="1"/>
    <x v="9"/>
    <x v="58"/>
    <x v="180"/>
    <x v="16"/>
    <x v="16"/>
    <x v="163"/>
    <x v="163"/>
    <x v="1"/>
    <x v="1"/>
    <x v="1"/>
  </r>
  <r>
    <x v="13"/>
    <x v="9"/>
    <x v="2"/>
    <x v="1"/>
    <x v="1"/>
    <x v="1"/>
    <x v="135"/>
    <x v="181"/>
    <x v="8"/>
    <x v="8"/>
    <x v="164"/>
    <x v="164"/>
    <x v="1"/>
    <x v="1"/>
    <x v="1"/>
  </r>
  <r>
    <x v="13"/>
    <x v="9"/>
    <x v="2"/>
    <x v="1"/>
    <x v="1"/>
    <x v="1"/>
    <x v="77"/>
    <x v="97"/>
    <x v="8"/>
    <x v="8"/>
    <x v="159"/>
    <x v="159"/>
    <x v="1"/>
    <x v="1"/>
    <x v="1"/>
  </r>
  <r>
    <x v="10"/>
    <x v="7"/>
    <x v="3"/>
    <x v="1"/>
    <x v="1"/>
    <x v="1"/>
    <x v="24"/>
    <x v="182"/>
    <x v="6"/>
    <x v="6"/>
    <x v="165"/>
    <x v="165"/>
    <x v="1"/>
    <x v="1"/>
    <x v="1"/>
  </r>
  <r>
    <x v="10"/>
    <x v="7"/>
    <x v="3"/>
    <x v="1"/>
    <x v="1"/>
    <x v="1"/>
    <x v="24"/>
    <x v="182"/>
    <x v="6"/>
    <x v="6"/>
    <x v="165"/>
    <x v="165"/>
    <x v="1"/>
    <x v="1"/>
    <x v="1"/>
  </r>
  <r>
    <x v="13"/>
    <x v="9"/>
    <x v="2"/>
    <x v="1"/>
    <x v="1"/>
    <x v="6"/>
    <x v="48"/>
    <x v="183"/>
    <x v="8"/>
    <x v="8"/>
    <x v="166"/>
    <x v="166"/>
    <x v="1"/>
    <x v="1"/>
    <x v="1"/>
  </r>
  <r>
    <x v="9"/>
    <x v="6"/>
    <x v="1"/>
    <x v="1"/>
    <x v="1"/>
    <x v="6"/>
    <x v="136"/>
    <x v="184"/>
    <x v="1"/>
    <x v="1"/>
    <x v="1"/>
    <x v="1"/>
    <x v="1"/>
    <x v="1"/>
    <x v="1"/>
  </r>
  <r>
    <x v="5"/>
    <x v="4"/>
    <x v="3"/>
    <x v="1"/>
    <x v="1"/>
    <x v="1"/>
    <x v="16"/>
    <x v="12"/>
    <x v="4"/>
    <x v="4"/>
    <x v="167"/>
    <x v="167"/>
    <x v="1"/>
    <x v="1"/>
    <x v="1"/>
  </r>
  <r>
    <x v="3"/>
    <x v="2"/>
    <x v="2"/>
    <x v="1"/>
    <x v="1"/>
    <x v="6"/>
    <x v="66"/>
    <x v="63"/>
    <x v="2"/>
    <x v="2"/>
    <x v="113"/>
    <x v="113"/>
    <x v="1"/>
    <x v="1"/>
    <x v="1"/>
  </r>
  <r>
    <x v="13"/>
    <x v="9"/>
    <x v="2"/>
    <x v="1"/>
    <x v="1"/>
    <x v="1"/>
    <x v="41"/>
    <x v="49"/>
    <x v="8"/>
    <x v="8"/>
    <x v="45"/>
    <x v="45"/>
    <x v="1"/>
    <x v="1"/>
    <x v="1"/>
  </r>
  <r>
    <x v="13"/>
    <x v="9"/>
    <x v="2"/>
    <x v="1"/>
    <x v="1"/>
    <x v="1"/>
    <x v="137"/>
    <x v="185"/>
    <x v="8"/>
    <x v="8"/>
    <x v="168"/>
    <x v="168"/>
    <x v="1"/>
    <x v="1"/>
    <x v="1"/>
  </r>
  <r>
    <x v="9"/>
    <x v="6"/>
    <x v="1"/>
    <x v="1"/>
    <x v="1"/>
    <x v="1"/>
    <x v="54"/>
    <x v="63"/>
    <x v="1"/>
    <x v="1"/>
    <x v="1"/>
    <x v="1"/>
    <x v="1"/>
    <x v="1"/>
    <x v="1"/>
  </r>
  <r>
    <x v="9"/>
    <x v="6"/>
    <x v="1"/>
    <x v="1"/>
    <x v="1"/>
    <x v="1"/>
    <x v="138"/>
    <x v="186"/>
    <x v="1"/>
    <x v="1"/>
    <x v="1"/>
    <x v="1"/>
    <x v="1"/>
    <x v="1"/>
    <x v="1"/>
  </r>
  <r>
    <x v="9"/>
    <x v="6"/>
    <x v="1"/>
    <x v="1"/>
    <x v="1"/>
    <x v="1"/>
    <x v="35"/>
    <x v="44"/>
    <x v="1"/>
    <x v="1"/>
    <x v="1"/>
    <x v="1"/>
    <x v="1"/>
    <x v="1"/>
    <x v="1"/>
  </r>
  <r>
    <x v="27"/>
    <x v="19"/>
    <x v="2"/>
    <x v="1"/>
    <x v="1"/>
    <x v="1"/>
    <x v="139"/>
    <x v="32"/>
    <x v="15"/>
    <x v="15"/>
    <x v="169"/>
    <x v="169"/>
    <x v="1"/>
    <x v="1"/>
    <x v="1"/>
  </r>
  <r>
    <x v="39"/>
    <x v="19"/>
    <x v="2"/>
    <x v="1"/>
    <x v="1"/>
    <x v="1"/>
    <x v="129"/>
    <x v="166"/>
    <x v="15"/>
    <x v="15"/>
    <x v="170"/>
    <x v="170"/>
    <x v="1"/>
    <x v="1"/>
    <x v="1"/>
  </r>
  <r>
    <x v="30"/>
    <x v="21"/>
    <x v="2"/>
    <x v="1"/>
    <x v="1"/>
    <x v="1"/>
    <x v="77"/>
    <x v="97"/>
    <x v="17"/>
    <x v="17"/>
    <x v="81"/>
    <x v="81"/>
    <x v="1"/>
    <x v="1"/>
    <x v="1"/>
  </r>
  <r>
    <x v="40"/>
    <x v="19"/>
    <x v="2"/>
    <x v="1"/>
    <x v="1"/>
    <x v="6"/>
    <x v="77"/>
    <x v="187"/>
    <x v="15"/>
    <x v="15"/>
    <x v="171"/>
    <x v="171"/>
    <x v="1"/>
    <x v="1"/>
    <x v="1"/>
  </r>
  <r>
    <x v="39"/>
    <x v="19"/>
    <x v="2"/>
    <x v="1"/>
    <x v="1"/>
    <x v="1"/>
    <x v="140"/>
    <x v="188"/>
    <x v="15"/>
    <x v="15"/>
    <x v="172"/>
    <x v="172"/>
    <x v="1"/>
    <x v="1"/>
    <x v="1"/>
  </r>
  <r>
    <x v="30"/>
    <x v="21"/>
    <x v="2"/>
    <x v="1"/>
    <x v="1"/>
    <x v="1"/>
    <x v="53"/>
    <x v="62"/>
    <x v="17"/>
    <x v="17"/>
    <x v="173"/>
    <x v="173"/>
    <x v="1"/>
    <x v="1"/>
    <x v="1"/>
  </r>
  <r>
    <x v="3"/>
    <x v="2"/>
    <x v="2"/>
    <x v="1"/>
    <x v="1"/>
    <x v="1"/>
    <x v="66"/>
    <x v="172"/>
    <x v="2"/>
    <x v="2"/>
    <x v="154"/>
    <x v="154"/>
    <x v="1"/>
    <x v="1"/>
    <x v="1"/>
  </r>
  <r>
    <x v="13"/>
    <x v="9"/>
    <x v="2"/>
    <x v="1"/>
    <x v="1"/>
    <x v="6"/>
    <x v="135"/>
    <x v="189"/>
    <x v="8"/>
    <x v="8"/>
    <x v="174"/>
    <x v="174"/>
    <x v="1"/>
    <x v="1"/>
    <x v="1"/>
  </r>
  <r>
    <x v="40"/>
    <x v="19"/>
    <x v="2"/>
    <x v="1"/>
    <x v="1"/>
    <x v="1"/>
    <x v="13"/>
    <x v="19"/>
    <x v="15"/>
    <x v="15"/>
    <x v="175"/>
    <x v="175"/>
    <x v="1"/>
    <x v="1"/>
    <x v="1"/>
  </r>
  <r>
    <x v="9"/>
    <x v="6"/>
    <x v="1"/>
    <x v="1"/>
    <x v="1"/>
    <x v="1"/>
    <x v="3"/>
    <x v="3"/>
    <x v="1"/>
    <x v="1"/>
    <x v="1"/>
    <x v="1"/>
    <x v="1"/>
    <x v="1"/>
    <x v="1"/>
  </r>
  <r>
    <x v="13"/>
    <x v="9"/>
    <x v="2"/>
    <x v="1"/>
    <x v="1"/>
    <x v="6"/>
    <x v="88"/>
    <x v="112"/>
    <x v="8"/>
    <x v="8"/>
    <x v="98"/>
    <x v="98"/>
    <x v="1"/>
    <x v="1"/>
    <x v="1"/>
  </r>
  <r>
    <x v="9"/>
    <x v="6"/>
    <x v="1"/>
    <x v="1"/>
    <x v="1"/>
    <x v="1"/>
    <x v="54"/>
    <x v="63"/>
    <x v="1"/>
    <x v="1"/>
    <x v="1"/>
    <x v="1"/>
    <x v="1"/>
    <x v="1"/>
    <x v="1"/>
  </r>
  <r>
    <x v="30"/>
    <x v="21"/>
    <x v="2"/>
    <x v="1"/>
    <x v="1"/>
    <x v="1"/>
    <x v="40"/>
    <x v="48"/>
    <x v="17"/>
    <x v="17"/>
    <x v="176"/>
    <x v="176"/>
    <x v="1"/>
    <x v="1"/>
    <x v="1"/>
  </r>
  <r>
    <x v="30"/>
    <x v="21"/>
    <x v="2"/>
    <x v="1"/>
    <x v="1"/>
    <x v="1"/>
    <x v="4"/>
    <x v="4"/>
    <x v="17"/>
    <x v="17"/>
    <x v="177"/>
    <x v="138"/>
    <x v="1"/>
    <x v="1"/>
    <x v="1"/>
  </r>
  <r>
    <x v="39"/>
    <x v="19"/>
    <x v="2"/>
    <x v="1"/>
    <x v="1"/>
    <x v="6"/>
    <x v="140"/>
    <x v="98"/>
    <x v="15"/>
    <x v="15"/>
    <x v="178"/>
    <x v="177"/>
    <x v="1"/>
    <x v="1"/>
    <x v="1"/>
  </r>
  <r>
    <x v="3"/>
    <x v="2"/>
    <x v="2"/>
    <x v="1"/>
    <x v="1"/>
    <x v="1"/>
    <x v="66"/>
    <x v="172"/>
    <x v="2"/>
    <x v="2"/>
    <x v="154"/>
    <x v="154"/>
    <x v="1"/>
    <x v="1"/>
    <x v="1"/>
  </r>
  <r>
    <x v="13"/>
    <x v="9"/>
    <x v="2"/>
    <x v="1"/>
    <x v="1"/>
    <x v="1"/>
    <x v="18"/>
    <x v="35"/>
    <x v="8"/>
    <x v="8"/>
    <x v="179"/>
    <x v="178"/>
    <x v="1"/>
    <x v="1"/>
    <x v="1"/>
  </r>
  <r>
    <x v="13"/>
    <x v="9"/>
    <x v="2"/>
    <x v="1"/>
    <x v="1"/>
    <x v="1"/>
    <x v="141"/>
    <x v="100"/>
    <x v="8"/>
    <x v="8"/>
    <x v="180"/>
    <x v="179"/>
    <x v="1"/>
    <x v="1"/>
    <x v="1"/>
  </r>
  <r>
    <x v="13"/>
    <x v="9"/>
    <x v="2"/>
    <x v="1"/>
    <x v="1"/>
    <x v="1"/>
    <x v="142"/>
    <x v="190"/>
    <x v="8"/>
    <x v="8"/>
    <x v="181"/>
    <x v="180"/>
    <x v="1"/>
    <x v="1"/>
    <x v="1"/>
  </r>
  <r>
    <x v="9"/>
    <x v="6"/>
    <x v="1"/>
    <x v="1"/>
    <x v="1"/>
    <x v="1"/>
    <x v="116"/>
    <x v="145"/>
    <x v="1"/>
    <x v="1"/>
    <x v="1"/>
    <x v="1"/>
    <x v="1"/>
    <x v="1"/>
    <x v="1"/>
  </r>
  <r>
    <x v="9"/>
    <x v="6"/>
    <x v="1"/>
    <x v="1"/>
    <x v="1"/>
    <x v="1"/>
    <x v="142"/>
    <x v="190"/>
    <x v="1"/>
    <x v="1"/>
    <x v="1"/>
    <x v="1"/>
    <x v="1"/>
    <x v="1"/>
    <x v="1"/>
  </r>
  <r>
    <x v="14"/>
    <x v="20"/>
    <x v="2"/>
    <x v="1"/>
    <x v="1"/>
    <x v="1"/>
    <x v="58"/>
    <x v="7"/>
    <x v="16"/>
    <x v="16"/>
    <x v="153"/>
    <x v="153"/>
    <x v="1"/>
    <x v="1"/>
    <x v="1"/>
  </r>
  <r>
    <x v="3"/>
    <x v="2"/>
    <x v="2"/>
    <x v="1"/>
    <x v="1"/>
    <x v="6"/>
    <x v="66"/>
    <x v="63"/>
    <x v="2"/>
    <x v="2"/>
    <x v="113"/>
    <x v="113"/>
    <x v="1"/>
    <x v="1"/>
    <x v="1"/>
  </r>
  <r>
    <x v="5"/>
    <x v="4"/>
    <x v="3"/>
    <x v="1"/>
    <x v="1"/>
    <x v="1"/>
    <x v="54"/>
    <x v="63"/>
    <x v="4"/>
    <x v="4"/>
    <x v="182"/>
    <x v="181"/>
    <x v="1"/>
    <x v="1"/>
    <x v="1"/>
  </r>
  <r>
    <x v="8"/>
    <x v="5"/>
    <x v="2"/>
    <x v="1"/>
    <x v="1"/>
    <x v="19"/>
    <x v="101"/>
    <x v="191"/>
    <x v="5"/>
    <x v="5"/>
    <x v="183"/>
    <x v="182"/>
    <x v="1"/>
    <x v="1"/>
    <x v="1"/>
  </r>
  <r>
    <x v="21"/>
    <x v="14"/>
    <x v="1"/>
    <x v="2"/>
    <x v="1"/>
    <x v="20"/>
    <x v="143"/>
    <x v="192"/>
    <x v="1"/>
    <x v="1"/>
    <x v="1"/>
    <x v="1"/>
    <x v="1"/>
    <x v="1"/>
    <x v="1"/>
  </r>
  <r>
    <x v="21"/>
    <x v="14"/>
    <x v="1"/>
    <x v="2"/>
    <x v="1"/>
    <x v="20"/>
    <x v="144"/>
    <x v="193"/>
    <x v="1"/>
    <x v="1"/>
    <x v="1"/>
    <x v="1"/>
    <x v="1"/>
    <x v="1"/>
    <x v="1"/>
  </r>
  <r>
    <x v="21"/>
    <x v="14"/>
    <x v="1"/>
    <x v="2"/>
    <x v="1"/>
    <x v="20"/>
    <x v="16"/>
    <x v="194"/>
    <x v="1"/>
    <x v="1"/>
    <x v="1"/>
    <x v="1"/>
    <x v="1"/>
    <x v="1"/>
    <x v="1"/>
  </r>
  <r>
    <x v="21"/>
    <x v="14"/>
    <x v="1"/>
    <x v="2"/>
    <x v="1"/>
    <x v="20"/>
    <x v="145"/>
    <x v="195"/>
    <x v="1"/>
    <x v="1"/>
    <x v="1"/>
    <x v="1"/>
    <x v="1"/>
    <x v="1"/>
    <x v="1"/>
  </r>
  <r>
    <x v="21"/>
    <x v="14"/>
    <x v="1"/>
    <x v="2"/>
    <x v="1"/>
    <x v="20"/>
    <x v="146"/>
    <x v="196"/>
    <x v="1"/>
    <x v="1"/>
    <x v="1"/>
    <x v="1"/>
    <x v="1"/>
    <x v="1"/>
    <x v="1"/>
  </r>
  <r>
    <x v="21"/>
    <x v="14"/>
    <x v="1"/>
    <x v="2"/>
    <x v="1"/>
    <x v="20"/>
    <x v="85"/>
    <x v="197"/>
    <x v="1"/>
    <x v="1"/>
    <x v="1"/>
    <x v="1"/>
    <x v="1"/>
    <x v="1"/>
    <x v="1"/>
  </r>
  <r>
    <x v="21"/>
    <x v="14"/>
    <x v="1"/>
    <x v="2"/>
    <x v="1"/>
    <x v="20"/>
    <x v="147"/>
    <x v="198"/>
    <x v="1"/>
    <x v="1"/>
    <x v="1"/>
    <x v="1"/>
    <x v="1"/>
    <x v="1"/>
    <x v="1"/>
  </r>
  <r>
    <x v="21"/>
    <x v="14"/>
    <x v="1"/>
    <x v="2"/>
    <x v="1"/>
    <x v="20"/>
    <x v="13"/>
    <x v="199"/>
    <x v="1"/>
    <x v="1"/>
    <x v="1"/>
    <x v="1"/>
    <x v="1"/>
    <x v="1"/>
    <x v="1"/>
  </r>
  <r>
    <x v="21"/>
    <x v="14"/>
    <x v="1"/>
    <x v="2"/>
    <x v="1"/>
    <x v="20"/>
    <x v="148"/>
    <x v="200"/>
    <x v="1"/>
    <x v="1"/>
    <x v="1"/>
    <x v="1"/>
    <x v="1"/>
    <x v="1"/>
    <x v="1"/>
  </r>
  <r>
    <x v="21"/>
    <x v="14"/>
    <x v="1"/>
    <x v="2"/>
    <x v="1"/>
    <x v="20"/>
    <x v="149"/>
    <x v="201"/>
    <x v="1"/>
    <x v="1"/>
    <x v="1"/>
    <x v="1"/>
    <x v="1"/>
    <x v="1"/>
    <x v="1"/>
  </r>
  <r>
    <x v="20"/>
    <x v="14"/>
    <x v="1"/>
    <x v="2"/>
    <x v="1"/>
    <x v="14"/>
    <x v="143"/>
    <x v="202"/>
    <x v="1"/>
    <x v="1"/>
    <x v="1"/>
    <x v="1"/>
    <x v="1"/>
    <x v="1"/>
    <x v="1"/>
  </r>
  <r>
    <x v="20"/>
    <x v="14"/>
    <x v="1"/>
    <x v="2"/>
    <x v="1"/>
    <x v="14"/>
    <x v="144"/>
    <x v="203"/>
    <x v="1"/>
    <x v="1"/>
    <x v="1"/>
    <x v="1"/>
    <x v="1"/>
    <x v="1"/>
    <x v="1"/>
  </r>
  <r>
    <x v="20"/>
    <x v="14"/>
    <x v="1"/>
    <x v="2"/>
    <x v="1"/>
    <x v="14"/>
    <x v="16"/>
    <x v="204"/>
    <x v="1"/>
    <x v="1"/>
    <x v="1"/>
    <x v="1"/>
    <x v="1"/>
    <x v="1"/>
    <x v="1"/>
  </r>
  <r>
    <x v="20"/>
    <x v="14"/>
    <x v="1"/>
    <x v="2"/>
    <x v="1"/>
    <x v="14"/>
    <x v="145"/>
    <x v="205"/>
    <x v="1"/>
    <x v="1"/>
    <x v="1"/>
    <x v="1"/>
    <x v="1"/>
    <x v="1"/>
    <x v="1"/>
  </r>
  <r>
    <x v="20"/>
    <x v="14"/>
    <x v="1"/>
    <x v="2"/>
    <x v="1"/>
    <x v="14"/>
    <x v="146"/>
    <x v="206"/>
    <x v="1"/>
    <x v="1"/>
    <x v="1"/>
    <x v="1"/>
    <x v="1"/>
    <x v="1"/>
    <x v="1"/>
  </r>
  <r>
    <x v="20"/>
    <x v="14"/>
    <x v="1"/>
    <x v="2"/>
    <x v="1"/>
    <x v="14"/>
    <x v="85"/>
    <x v="207"/>
    <x v="1"/>
    <x v="1"/>
    <x v="1"/>
    <x v="1"/>
    <x v="1"/>
    <x v="1"/>
    <x v="1"/>
  </r>
  <r>
    <x v="20"/>
    <x v="14"/>
    <x v="1"/>
    <x v="2"/>
    <x v="1"/>
    <x v="14"/>
    <x v="147"/>
    <x v="208"/>
    <x v="1"/>
    <x v="1"/>
    <x v="1"/>
    <x v="1"/>
    <x v="1"/>
    <x v="1"/>
    <x v="1"/>
  </r>
  <r>
    <x v="20"/>
    <x v="14"/>
    <x v="1"/>
    <x v="2"/>
    <x v="1"/>
    <x v="14"/>
    <x v="13"/>
    <x v="209"/>
    <x v="1"/>
    <x v="1"/>
    <x v="1"/>
    <x v="1"/>
    <x v="1"/>
    <x v="1"/>
    <x v="1"/>
  </r>
  <r>
    <x v="20"/>
    <x v="14"/>
    <x v="1"/>
    <x v="2"/>
    <x v="1"/>
    <x v="14"/>
    <x v="148"/>
    <x v="210"/>
    <x v="1"/>
    <x v="1"/>
    <x v="1"/>
    <x v="1"/>
    <x v="1"/>
    <x v="1"/>
    <x v="1"/>
  </r>
  <r>
    <x v="20"/>
    <x v="14"/>
    <x v="1"/>
    <x v="2"/>
    <x v="1"/>
    <x v="14"/>
    <x v="149"/>
    <x v="211"/>
    <x v="1"/>
    <x v="1"/>
    <x v="1"/>
    <x v="1"/>
    <x v="1"/>
    <x v="1"/>
    <x v="1"/>
  </r>
  <r>
    <x v="21"/>
    <x v="14"/>
    <x v="1"/>
    <x v="2"/>
    <x v="1"/>
    <x v="5"/>
    <x v="150"/>
    <x v="212"/>
    <x v="1"/>
    <x v="1"/>
    <x v="1"/>
    <x v="1"/>
    <x v="1"/>
    <x v="1"/>
    <x v="1"/>
  </r>
  <r>
    <x v="21"/>
    <x v="14"/>
    <x v="1"/>
    <x v="2"/>
    <x v="1"/>
    <x v="5"/>
    <x v="150"/>
    <x v="212"/>
    <x v="1"/>
    <x v="1"/>
    <x v="1"/>
    <x v="1"/>
    <x v="1"/>
    <x v="1"/>
    <x v="1"/>
  </r>
  <r>
    <x v="41"/>
    <x v="26"/>
    <x v="1"/>
    <x v="1"/>
    <x v="1"/>
    <x v="2"/>
    <x v="4"/>
    <x v="213"/>
    <x v="1"/>
    <x v="1"/>
    <x v="1"/>
    <x v="1"/>
    <x v="1"/>
    <x v="1"/>
    <x v="1"/>
  </r>
  <r>
    <x v="23"/>
    <x v="26"/>
    <x v="1"/>
    <x v="1"/>
    <x v="1"/>
    <x v="6"/>
    <x v="34"/>
    <x v="214"/>
    <x v="1"/>
    <x v="1"/>
    <x v="1"/>
    <x v="1"/>
    <x v="1"/>
    <x v="1"/>
    <x v="1"/>
  </r>
  <r>
    <x v="12"/>
    <x v="2"/>
    <x v="2"/>
    <x v="1"/>
    <x v="1"/>
    <x v="6"/>
    <x v="33"/>
    <x v="181"/>
    <x v="2"/>
    <x v="2"/>
    <x v="184"/>
    <x v="183"/>
    <x v="1"/>
    <x v="1"/>
    <x v="1"/>
  </r>
  <r>
    <x v="7"/>
    <x v="2"/>
    <x v="2"/>
    <x v="1"/>
    <x v="1"/>
    <x v="1"/>
    <x v="88"/>
    <x v="167"/>
    <x v="2"/>
    <x v="2"/>
    <x v="147"/>
    <x v="147"/>
    <x v="1"/>
    <x v="1"/>
    <x v="1"/>
  </r>
  <r>
    <x v="21"/>
    <x v="14"/>
    <x v="1"/>
    <x v="2"/>
    <x v="1"/>
    <x v="2"/>
    <x v="24"/>
    <x v="215"/>
    <x v="1"/>
    <x v="1"/>
    <x v="1"/>
    <x v="1"/>
    <x v="1"/>
    <x v="1"/>
    <x v="1"/>
  </r>
  <r>
    <x v="42"/>
    <x v="14"/>
    <x v="1"/>
    <x v="2"/>
    <x v="1"/>
    <x v="6"/>
    <x v="21"/>
    <x v="28"/>
    <x v="1"/>
    <x v="1"/>
    <x v="1"/>
    <x v="1"/>
    <x v="1"/>
    <x v="1"/>
    <x v="1"/>
  </r>
  <r>
    <x v="1"/>
    <x v="1"/>
    <x v="1"/>
    <x v="1"/>
    <x v="1"/>
    <x v="6"/>
    <x v="34"/>
    <x v="214"/>
    <x v="1"/>
    <x v="1"/>
    <x v="1"/>
    <x v="1"/>
    <x v="1"/>
    <x v="1"/>
    <x v="1"/>
  </r>
  <r>
    <x v="43"/>
    <x v="27"/>
    <x v="4"/>
    <x v="1"/>
    <x v="1"/>
    <x v="1"/>
    <x v="151"/>
    <x v="216"/>
    <x v="21"/>
    <x v="21"/>
    <x v="185"/>
    <x v="184"/>
    <x v="1"/>
    <x v="1"/>
    <x v="1"/>
  </r>
  <r>
    <x v="43"/>
    <x v="27"/>
    <x v="4"/>
    <x v="1"/>
    <x v="1"/>
    <x v="1"/>
    <x v="18"/>
    <x v="35"/>
    <x v="21"/>
    <x v="21"/>
    <x v="186"/>
    <x v="185"/>
    <x v="1"/>
    <x v="1"/>
    <x v="1"/>
  </r>
  <r>
    <x v="43"/>
    <x v="27"/>
    <x v="4"/>
    <x v="1"/>
    <x v="1"/>
    <x v="1"/>
    <x v="21"/>
    <x v="160"/>
    <x v="21"/>
    <x v="21"/>
    <x v="187"/>
    <x v="186"/>
    <x v="1"/>
    <x v="1"/>
    <x v="1"/>
  </r>
  <r>
    <x v="40"/>
    <x v="19"/>
    <x v="2"/>
    <x v="1"/>
    <x v="1"/>
    <x v="1"/>
    <x v="38"/>
    <x v="46"/>
    <x v="15"/>
    <x v="15"/>
    <x v="188"/>
    <x v="187"/>
    <x v="1"/>
    <x v="1"/>
    <x v="1"/>
  </r>
  <r>
    <x v="4"/>
    <x v="3"/>
    <x v="3"/>
    <x v="1"/>
    <x v="1"/>
    <x v="1"/>
    <x v="152"/>
    <x v="217"/>
    <x v="3"/>
    <x v="3"/>
    <x v="189"/>
    <x v="188"/>
    <x v="1"/>
    <x v="1"/>
    <x v="1"/>
  </r>
  <r>
    <x v="34"/>
    <x v="24"/>
    <x v="3"/>
    <x v="1"/>
    <x v="1"/>
    <x v="1"/>
    <x v="153"/>
    <x v="218"/>
    <x v="19"/>
    <x v="19"/>
    <x v="190"/>
    <x v="189"/>
    <x v="1"/>
    <x v="1"/>
    <x v="1"/>
  </r>
  <r>
    <x v="32"/>
    <x v="3"/>
    <x v="3"/>
    <x v="1"/>
    <x v="1"/>
    <x v="2"/>
    <x v="101"/>
    <x v="182"/>
    <x v="3"/>
    <x v="3"/>
    <x v="191"/>
    <x v="190"/>
    <x v="1"/>
    <x v="1"/>
    <x v="1"/>
  </r>
  <r>
    <x v="31"/>
    <x v="22"/>
    <x v="3"/>
    <x v="1"/>
    <x v="1"/>
    <x v="1"/>
    <x v="154"/>
    <x v="69"/>
    <x v="18"/>
    <x v="18"/>
    <x v="192"/>
    <x v="191"/>
    <x v="1"/>
    <x v="1"/>
    <x v="1"/>
  </r>
  <r>
    <x v="23"/>
    <x v="26"/>
    <x v="1"/>
    <x v="1"/>
    <x v="1"/>
    <x v="1"/>
    <x v="8"/>
    <x v="219"/>
    <x v="1"/>
    <x v="1"/>
    <x v="1"/>
    <x v="1"/>
    <x v="1"/>
    <x v="1"/>
    <x v="1"/>
  </r>
  <r>
    <x v="1"/>
    <x v="1"/>
    <x v="1"/>
    <x v="1"/>
    <x v="1"/>
    <x v="1"/>
    <x v="13"/>
    <x v="19"/>
    <x v="1"/>
    <x v="1"/>
    <x v="1"/>
    <x v="1"/>
    <x v="1"/>
    <x v="1"/>
    <x v="1"/>
  </r>
  <r>
    <x v="44"/>
    <x v="28"/>
    <x v="2"/>
    <x v="1"/>
    <x v="1"/>
    <x v="1"/>
    <x v="45"/>
    <x v="53"/>
    <x v="22"/>
    <x v="22"/>
    <x v="193"/>
    <x v="192"/>
    <x v="1"/>
    <x v="1"/>
    <x v="1"/>
  </r>
  <r>
    <x v="45"/>
    <x v="29"/>
    <x v="3"/>
    <x v="1"/>
    <x v="1"/>
    <x v="1"/>
    <x v="155"/>
    <x v="220"/>
    <x v="23"/>
    <x v="23"/>
    <x v="194"/>
    <x v="193"/>
    <x v="1"/>
    <x v="1"/>
    <x v="1"/>
  </r>
  <r>
    <x v="45"/>
    <x v="29"/>
    <x v="3"/>
    <x v="1"/>
    <x v="1"/>
    <x v="1"/>
    <x v="34"/>
    <x v="43"/>
    <x v="23"/>
    <x v="23"/>
    <x v="195"/>
    <x v="145"/>
    <x v="1"/>
    <x v="1"/>
    <x v="1"/>
  </r>
  <r>
    <x v="45"/>
    <x v="29"/>
    <x v="3"/>
    <x v="1"/>
    <x v="1"/>
    <x v="1"/>
    <x v="156"/>
    <x v="221"/>
    <x v="23"/>
    <x v="23"/>
    <x v="196"/>
    <x v="194"/>
    <x v="1"/>
    <x v="1"/>
    <x v="1"/>
  </r>
  <r>
    <x v="45"/>
    <x v="30"/>
    <x v="3"/>
    <x v="1"/>
    <x v="1"/>
    <x v="6"/>
    <x v="157"/>
    <x v="165"/>
    <x v="24"/>
    <x v="24"/>
    <x v="197"/>
    <x v="195"/>
    <x v="1"/>
    <x v="1"/>
    <x v="1"/>
  </r>
  <r>
    <x v="45"/>
    <x v="30"/>
    <x v="3"/>
    <x v="1"/>
    <x v="1"/>
    <x v="1"/>
    <x v="158"/>
    <x v="222"/>
    <x v="24"/>
    <x v="24"/>
    <x v="198"/>
    <x v="196"/>
    <x v="1"/>
    <x v="1"/>
    <x v="1"/>
  </r>
  <r>
    <x v="45"/>
    <x v="30"/>
    <x v="3"/>
    <x v="1"/>
    <x v="1"/>
    <x v="6"/>
    <x v="159"/>
    <x v="186"/>
    <x v="24"/>
    <x v="24"/>
    <x v="199"/>
    <x v="197"/>
    <x v="1"/>
    <x v="1"/>
    <x v="1"/>
  </r>
  <r>
    <x v="45"/>
    <x v="30"/>
    <x v="3"/>
    <x v="1"/>
    <x v="1"/>
    <x v="1"/>
    <x v="151"/>
    <x v="216"/>
    <x v="24"/>
    <x v="24"/>
    <x v="200"/>
    <x v="198"/>
    <x v="1"/>
    <x v="1"/>
    <x v="1"/>
  </r>
  <r>
    <x v="45"/>
    <x v="30"/>
    <x v="3"/>
    <x v="1"/>
    <x v="1"/>
    <x v="21"/>
    <x v="101"/>
    <x v="213"/>
    <x v="24"/>
    <x v="24"/>
    <x v="201"/>
    <x v="199"/>
    <x v="1"/>
    <x v="1"/>
    <x v="1"/>
  </r>
  <r>
    <x v="45"/>
    <x v="30"/>
    <x v="3"/>
    <x v="1"/>
    <x v="1"/>
    <x v="20"/>
    <x v="160"/>
    <x v="107"/>
    <x v="24"/>
    <x v="24"/>
    <x v="202"/>
    <x v="200"/>
    <x v="1"/>
    <x v="1"/>
    <x v="1"/>
  </r>
  <r>
    <x v="45"/>
    <x v="30"/>
    <x v="3"/>
    <x v="1"/>
    <x v="1"/>
    <x v="1"/>
    <x v="116"/>
    <x v="145"/>
    <x v="24"/>
    <x v="24"/>
    <x v="203"/>
    <x v="201"/>
    <x v="1"/>
    <x v="1"/>
    <x v="1"/>
  </r>
  <r>
    <x v="45"/>
    <x v="30"/>
    <x v="3"/>
    <x v="1"/>
    <x v="1"/>
    <x v="4"/>
    <x v="20"/>
    <x v="53"/>
    <x v="24"/>
    <x v="24"/>
    <x v="204"/>
    <x v="202"/>
    <x v="1"/>
    <x v="1"/>
    <x v="1"/>
  </r>
  <r>
    <x v="45"/>
    <x v="30"/>
    <x v="3"/>
    <x v="1"/>
    <x v="1"/>
    <x v="1"/>
    <x v="161"/>
    <x v="143"/>
    <x v="24"/>
    <x v="24"/>
    <x v="205"/>
    <x v="203"/>
    <x v="1"/>
    <x v="1"/>
    <x v="1"/>
  </r>
  <r>
    <x v="1"/>
    <x v="1"/>
    <x v="1"/>
    <x v="1"/>
    <x v="1"/>
    <x v="9"/>
    <x v="35"/>
    <x v="223"/>
    <x v="1"/>
    <x v="1"/>
    <x v="1"/>
    <x v="1"/>
    <x v="1"/>
    <x v="1"/>
    <x v="1"/>
  </r>
  <r>
    <x v="27"/>
    <x v="19"/>
    <x v="2"/>
    <x v="1"/>
    <x v="1"/>
    <x v="1"/>
    <x v="13"/>
    <x v="19"/>
    <x v="15"/>
    <x v="15"/>
    <x v="175"/>
    <x v="175"/>
    <x v="1"/>
    <x v="1"/>
    <x v="1"/>
  </r>
  <r>
    <x v="27"/>
    <x v="19"/>
    <x v="2"/>
    <x v="1"/>
    <x v="1"/>
    <x v="1"/>
    <x v="148"/>
    <x v="224"/>
    <x v="15"/>
    <x v="15"/>
    <x v="206"/>
    <x v="204"/>
    <x v="1"/>
    <x v="1"/>
    <x v="1"/>
  </r>
  <r>
    <x v="27"/>
    <x v="19"/>
    <x v="2"/>
    <x v="1"/>
    <x v="1"/>
    <x v="1"/>
    <x v="53"/>
    <x v="62"/>
    <x v="15"/>
    <x v="15"/>
    <x v="207"/>
    <x v="205"/>
    <x v="1"/>
    <x v="1"/>
    <x v="1"/>
  </r>
  <r>
    <x v="43"/>
    <x v="27"/>
    <x v="4"/>
    <x v="1"/>
    <x v="1"/>
    <x v="1"/>
    <x v="88"/>
    <x v="167"/>
    <x v="21"/>
    <x v="21"/>
    <x v="208"/>
    <x v="206"/>
    <x v="1"/>
    <x v="1"/>
    <x v="1"/>
  </r>
  <r>
    <x v="40"/>
    <x v="19"/>
    <x v="2"/>
    <x v="1"/>
    <x v="1"/>
    <x v="1"/>
    <x v="50"/>
    <x v="59"/>
    <x v="15"/>
    <x v="15"/>
    <x v="209"/>
    <x v="207"/>
    <x v="1"/>
    <x v="1"/>
    <x v="1"/>
  </r>
  <r>
    <x v="23"/>
    <x v="26"/>
    <x v="1"/>
    <x v="1"/>
    <x v="1"/>
    <x v="1"/>
    <x v="34"/>
    <x v="43"/>
    <x v="1"/>
    <x v="1"/>
    <x v="1"/>
    <x v="1"/>
    <x v="1"/>
    <x v="1"/>
    <x v="1"/>
  </r>
  <r>
    <x v="4"/>
    <x v="3"/>
    <x v="3"/>
    <x v="1"/>
    <x v="1"/>
    <x v="1"/>
    <x v="3"/>
    <x v="3"/>
    <x v="3"/>
    <x v="3"/>
    <x v="133"/>
    <x v="133"/>
    <x v="1"/>
    <x v="1"/>
    <x v="1"/>
  </r>
  <r>
    <x v="29"/>
    <x v="4"/>
    <x v="3"/>
    <x v="1"/>
    <x v="1"/>
    <x v="1"/>
    <x v="88"/>
    <x v="167"/>
    <x v="4"/>
    <x v="4"/>
    <x v="210"/>
    <x v="208"/>
    <x v="1"/>
    <x v="1"/>
    <x v="1"/>
  </r>
  <r>
    <x v="34"/>
    <x v="24"/>
    <x v="3"/>
    <x v="1"/>
    <x v="1"/>
    <x v="1"/>
    <x v="35"/>
    <x v="44"/>
    <x v="19"/>
    <x v="19"/>
    <x v="211"/>
    <x v="209"/>
    <x v="1"/>
    <x v="1"/>
    <x v="1"/>
  </r>
  <r>
    <x v="32"/>
    <x v="3"/>
    <x v="3"/>
    <x v="1"/>
    <x v="1"/>
    <x v="3"/>
    <x v="101"/>
    <x v="221"/>
    <x v="3"/>
    <x v="3"/>
    <x v="212"/>
    <x v="210"/>
    <x v="1"/>
    <x v="1"/>
    <x v="1"/>
  </r>
  <r>
    <x v="31"/>
    <x v="22"/>
    <x v="3"/>
    <x v="1"/>
    <x v="1"/>
    <x v="1"/>
    <x v="162"/>
    <x v="225"/>
    <x v="18"/>
    <x v="18"/>
    <x v="213"/>
    <x v="211"/>
    <x v="1"/>
    <x v="1"/>
    <x v="1"/>
  </r>
  <r>
    <x v="9"/>
    <x v="6"/>
    <x v="1"/>
    <x v="1"/>
    <x v="1"/>
    <x v="1"/>
    <x v="116"/>
    <x v="145"/>
    <x v="1"/>
    <x v="1"/>
    <x v="1"/>
    <x v="1"/>
    <x v="1"/>
    <x v="1"/>
    <x v="1"/>
  </r>
  <r>
    <x v="10"/>
    <x v="7"/>
    <x v="3"/>
    <x v="1"/>
    <x v="1"/>
    <x v="1"/>
    <x v="39"/>
    <x v="47"/>
    <x v="6"/>
    <x v="6"/>
    <x v="214"/>
    <x v="212"/>
    <x v="1"/>
    <x v="1"/>
    <x v="1"/>
  </r>
  <r>
    <x v="9"/>
    <x v="6"/>
    <x v="1"/>
    <x v="1"/>
    <x v="1"/>
    <x v="1"/>
    <x v="163"/>
    <x v="226"/>
    <x v="1"/>
    <x v="1"/>
    <x v="1"/>
    <x v="1"/>
    <x v="1"/>
    <x v="1"/>
    <x v="1"/>
  </r>
  <r>
    <x v="9"/>
    <x v="6"/>
    <x v="1"/>
    <x v="1"/>
    <x v="1"/>
    <x v="1"/>
    <x v="50"/>
    <x v="59"/>
    <x v="1"/>
    <x v="1"/>
    <x v="1"/>
    <x v="1"/>
    <x v="1"/>
    <x v="1"/>
    <x v="1"/>
  </r>
  <r>
    <x v="9"/>
    <x v="6"/>
    <x v="1"/>
    <x v="1"/>
    <x v="1"/>
    <x v="1"/>
    <x v="45"/>
    <x v="53"/>
    <x v="1"/>
    <x v="1"/>
    <x v="1"/>
    <x v="1"/>
    <x v="1"/>
    <x v="1"/>
    <x v="1"/>
  </r>
  <r>
    <x v="9"/>
    <x v="6"/>
    <x v="1"/>
    <x v="1"/>
    <x v="1"/>
    <x v="1"/>
    <x v="164"/>
    <x v="227"/>
    <x v="1"/>
    <x v="1"/>
    <x v="1"/>
    <x v="1"/>
    <x v="1"/>
    <x v="1"/>
    <x v="1"/>
  </r>
  <r>
    <x v="23"/>
    <x v="26"/>
    <x v="1"/>
    <x v="1"/>
    <x v="1"/>
    <x v="2"/>
    <x v="148"/>
    <x v="228"/>
    <x v="1"/>
    <x v="1"/>
    <x v="1"/>
    <x v="1"/>
    <x v="1"/>
    <x v="1"/>
    <x v="1"/>
  </r>
  <r>
    <x v="46"/>
    <x v="31"/>
    <x v="1"/>
    <x v="1"/>
    <x v="1"/>
    <x v="6"/>
    <x v="53"/>
    <x v="49"/>
    <x v="1"/>
    <x v="1"/>
    <x v="1"/>
    <x v="1"/>
    <x v="1"/>
    <x v="1"/>
    <x v="1"/>
  </r>
  <r>
    <x v="29"/>
    <x v="4"/>
    <x v="3"/>
    <x v="1"/>
    <x v="1"/>
    <x v="1"/>
    <x v="165"/>
    <x v="229"/>
    <x v="4"/>
    <x v="4"/>
    <x v="215"/>
    <x v="213"/>
    <x v="1"/>
    <x v="1"/>
    <x v="1"/>
  </r>
  <r>
    <x v="29"/>
    <x v="4"/>
    <x v="3"/>
    <x v="1"/>
    <x v="1"/>
    <x v="1"/>
    <x v="50"/>
    <x v="59"/>
    <x v="4"/>
    <x v="4"/>
    <x v="216"/>
    <x v="214"/>
    <x v="1"/>
    <x v="1"/>
    <x v="1"/>
  </r>
  <r>
    <x v="29"/>
    <x v="4"/>
    <x v="3"/>
    <x v="1"/>
    <x v="1"/>
    <x v="1"/>
    <x v="45"/>
    <x v="53"/>
    <x v="4"/>
    <x v="4"/>
    <x v="217"/>
    <x v="215"/>
    <x v="1"/>
    <x v="1"/>
    <x v="1"/>
  </r>
  <r>
    <x v="29"/>
    <x v="4"/>
    <x v="3"/>
    <x v="1"/>
    <x v="1"/>
    <x v="1"/>
    <x v="47"/>
    <x v="174"/>
    <x v="4"/>
    <x v="4"/>
    <x v="218"/>
    <x v="216"/>
    <x v="1"/>
    <x v="1"/>
    <x v="1"/>
  </r>
  <r>
    <x v="1"/>
    <x v="1"/>
    <x v="1"/>
    <x v="1"/>
    <x v="1"/>
    <x v="1"/>
    <x v="31"/>
    <x v="40"/>
    <x v="1"/>
    <x v="1"/>
    <x v="1"/>
    <x v="1"/>
    <x v="1"/>
    <x v="1"/>
    <x v="1"/>
  </r>
  <r>
    <x v="41"/>
    <x v="26"/>
    <x v="1"/>
    <x v="1"/>
    <x v="1"/>
    <x v="9"/>
    <x v="2"/>
    <x v="230"/>
    <x v="1"/>
    <x v="1"/>
    <x v="1"/>
    <x v="1"/>
    <x v="1"/>
    <x v="1"/>
    <x v="1"/>
  </r>
  <r>
    <x v="47"/>
    <x v="32"/>
    <x v="2"/>
    <x v="1"/>
    <x v="1"/>
    <x v="1"/>
    <x v="166"/>
    <x v="27"/>
    <x v="25"/>
    <x v="25"/>
    <x v="219"/>
    <x v="217"/>
    <x v="1"/>
    <x v="1"/>
    <x v="1"/>
  </r>
  <r>
    <x v="48"/>
    <x v="2"/>
    <x v="2"/>
    <x v="1"/>
    <x v="1"/>
    <x v="1"/>
    <x v="17"/>
    <x v="23"/>
    <x v="2"/>
    <x v="2"/>
    <x v="14"/>
    <x v="14"/>
    <x v="1"/>
    <x v="1"/>
    <x v="1"/>
  </r>
  <r>
    <x v="32"/>
    <x v="3"/>
    <x v="3"/>
    <x v="1"/>
    <x v="1"/>
    <x v="6"/>
    <x v="167"/>
    <x v="216"/>
    <x v="3"/>
    <x v="3"/>
    <x v="220"/>
    <x v="218"/>
    <x v="1"/>
    <x v="1"/>
    <x v="1"/>
  </r>
  <r>
    <x v="49"/>
    <x v="3"/>
    <x v="3"/>
    <x v="1"/>
    <x v="1"/>
    <x v="1"/>
    <x v="17"/>
    <x v="23"/>
    <x v="3"/>
    <x v="3"/>
    <x v="221"/>
    <x v="50"/>
    <x v="1"/>
    <x v="1"/>
    <x v="1"/>
  </r>
  <r>
    <x v="47"/>
    <x v="32"/>
    <x v="2"/>
    <x v="1"/>
    <x v="1"/>
    <x v="1"/>
    <x v="168"/>
    <x v="231"/>
    <x v="25"/>
    <x v="25"/>
    <x v="222"/>
    <x v="219"/>
    <x v="1"/>
    <x v="1"/>
    <x v="1"/>
  </r>
  <r>
    <x v="47"/>
    <x v="32"/>
    <x v="2"/>
    <x v="1"/>
    <x v="1"/>
    <x v="1"/>
    <x v="45"/>
    <x v="53"/>
    <x v="25"/>
    <x v="25"/>
    <x v="223"/>
    <x v="220"/>
    <x v="1"/>
    <x v="1"/>
    <x v="1"/>
  </r>
  <r>
    <x v="50"/>
    <x v="19"/>
    <x v="2"/>
    <x v="1"/>
    <x v="1"/>
    <x v="6"/>
    <x v="169"/>
    <x v="232"/>
    <x v="15"/>
    <x v="15"/>
    <x v="224"/>
    <x v="221"/>
    <x v="1"/>
    <x v="1"/>
    <x v="1"/>
  </r>
  <r>
    <x v="9"/>
    <x v="6"/>
    <x v="1"/>
    <x v="1"/>
    <x v="1"/>
    <x v="6"/>
    <x v="169"/>
    <x v="232"/>
    <x v="1"/>
    <x v="1"/>
    <x v="1"/>
    <x v="1"/>
    <x v="1"/>
    <x v="1"/>
    <x v="1"/>
  </r>
  <r>
    <x v="51"/>
    <x v="24"/>
    <x v="3"/>
    <x v="1"/>
    <x v="1"/>
    <x v="6"/>
    <x v="170"/>
    <x v="159"/>
    <x v="19"/>
    <x v="19"/>
    <x v="225"/>
    <x v="222"/>
    <x v="1"/>
    <x v="1"/>
    <x v="1"/>
  </r>
  <r>
    <x v="51"/>
    <x v="24"/>
    <x v="3"/>
    <x v="1"/>
    <x v="1"/>
    <x v="6"/>
    <x v="24"/>
    <x v="32"/>
    <x v="19"/>
    <x v="19"/>
    <x v="226"/>
    <x v="223"/>
    <x v="1"/>
    <x v="1"/>
    <x v="1"/>
  </r>
  <r>
    <x v="51"/>
    <x v="24"/>
    <x v="3"/>
    <x v="1"/>
    <x v="1"/>
    <x v="1"/>
    <x v="83"/>
    <x v="104"/>
    <x v="19"/>
    <x v="19"/>
    <x v="227"/>
    <x v="224"/>
    <x v="1"/>
    <x v="1"/>
    <x v="1"/>
  </r>
  <r>
    <x v="51"/>
    <x v="24"/>
    <x v="3"/>
    <x v="1"/>
    <x v="1"/>
    <x v="1"/>
    <x v="37"/>
    <x v="37"/>
    <x v="19"/>
    <x v="19"/>
    <x v="228"/>
    <x v="225"/>
    <x v="1"/>
    <x v="1"/>
    <x v="1"/>
  </r>
  <r>
    <x v="52"/>
    <x v="33"/>
    <x v="1"/>
    <x v="1"/>
    <x v="1"/>
    <x v="22"/>
    <x v="142"/>
    <x v="233"/>
    <x v="1"/>
    <x v="1"/>
    <x v="1"/>
    <x v="1"/>
    <x v="1"/>
    <x v="1"/>
    <x v="1"/>
  </r>
  <r>
    <x v="42"/>
    <x v="33"/>
    <x v="1"/>
    <x v="1"/>
    <x v="1"/>
    <x v="1"/>
    <x v="171"/>
    <x v="223"/>
    <x v="1"/>
    <x v="1"/>
    <x v="1"/>
    <x v="1"/>
    <x v="1"/>
    <x v="1"/>
    <x v="1"/>
  </r>
  <r>
    <x v="10"/>
    <x v="7"/>
    <x v="3"/>
    <x v="1"/>
    <x v="1"/>
    <x v="1"/>
    <x v="66"/>
    <x v="172"/>
    <x v="6"/>
    <x v="6"/>
    <x v="229"/>
    <x v="226"/>
    <x v="1"/>
    <x v="1"/>
    <x v="1"/>
  </r>
  <r>
    <x v="50"/>
    <x v="19"/>
    <x v="2"/>
    <x v="1"/>
    <x v="1"/>
    <x v="1"/>
    <x v="28"/>
    <x v="36"/>
    <x v="15"/>
    <x v="15"/>
    <x v="230"/>
    <x v="227"/>
    <x v="1"/>
    <x v="1"/>
    <x v="1"/>
  </r>
  <r>
    <x v="32"/>
    <x v="3"/>
    <x v="3"/>
    <x v="1"/>
    <x v="1"/>
    <x v="6"/>
    <x v="101"/>
    <x v="219"/>
    <x v="3"/>
    <x v="3"/>
    <x v="231"/>
    <x v="228"/>
    <x v="1"/>
    <x v="1"/>
    <x v="1"/>
  </r>
  <r>
    <x v="31"/>
    <x v="34"/>
    <x v="1"/>
    <x v="1"/>
    <x v="1"/>
    <x v="1"/>
    <x v="128"/>
    <x v="164"/>
    <x v="1"/>
    <x v="1"/>
    <x v="1"/>
    <x v="1"/>
    <x v="1"/>
    <x v="1"/>
    <x v="1"/>
  </r>
  <r>
    <x v="13"/>
    <x v="9"/>
    <x v="2"/>
    <x v="1"/>
    <x v="1"/>
    <x v="1"/>
    <x v="164"/>
    <x v="227"/>
    <x v="8"/>
    <x v="8"/>
    <x v="232"/>
    <x v="229"/>
    <x v="1"/>
    <x v="1"/>
    <x v="1"/>
  </r>
  <r>
    <x v="13"/>
    <x v="9"/>
    <x v="2"/>
    <x v="1"/>
    <x v="1"/>
    <x v="1"/>
    <x v="52"/>
    <x v="61"/>
    <x v="8"/>
    <x v="8"/>
    <x v="233"/>
    <x v="230"/>
    <x v="1"/>
    <x v="1"/>
    <x v="1"/>
  </r>
  <r>
    <x v="13"/>
    <x v="9"/>
    <x v="2"/>
    <x v="1"/>
    <x v="1"/>
    <x v="1"/>
    <x v="35"/>
    <x v="44"/>
    <x v="8"/>
    <x v="8"/>
    <x v="38"/>
    <x v="38"/>
    <x v="1"/>
    <x v="1"/>
    <x v="1"/>
  </r>
  <r>
    <x v="13"/>
    <x v="9"/>
    <x v="2"/>
    <x v="1"/>
    <x v="1"/>
    <x v="1"/>
    <x v="142"/>
    <x v="190"/>
    <x v="8"/>
    <x v="8"/>
    <x v="181"/>
    <x v="180"/>
    <x v="1"/>
    <x v="1"/>
    <x v="1"/>
  </r>
  <r>
    <x v="9"/>
    <x v="6"/>
    <x v="1"/>
    <x v="1"/>
    <x v="1"/>
    <x v="1"/>
    <x v="33"/>
    <x v="42"/>
    <x v="1"/>
    <x v="1"/>
    <x v="1"/>
    <x v="1"/>
    <x v="1"/>
    <x v="1"/>
    <x v="1"/>
  </r>
  <r>
    <x v="48"/>
    <x v="2"/>
    <x v="2"/>
    <x v="1"/>
    <x v="1"/>
    <x v="1"/>
    <x v="81"/>
    <x v="234"/>
    <x v="2"/>
    <x v="2"/>
    <x v="234"/>
    <x v="231"/>
    <x v="1"/>
    <x v="1"/>
    <x v="1"/>
  </r>
  <r>
    <x v="48"/>
    <x v="2"/>
    <x v="2"/>
    <x v="1"/>
    <x v="1"/>
    <x v="1"/>
    <x v="165"/>
    <x v="229"/>
    <x v="2"/>
    <x v="2"/>
    <x v="235"/>
    <x v="232"/>
    <x v="1"/>
    <x v="1"/>
    <x v="1"/>
  </r>
  <r>
    <x v="26"/>
    <x v="18"/>
    <x v="2"/>
    <x v="1"/>
    <x v="1"/>
    <x v="4"/>
    <x v="127"/>
    <x v="177"/>
    <x v="14"/>
    <x v="14"/>
    <x v="236"/>
    <x v="233"/>
    <x v="1"/>
    <x v="1"/>
    <x v="1"/>
  </r>
  <r>
    <x v="30"/>
    <x v="21"/>
    <x v="2"/>
    <x v="1"/>
    <x v="1"/>
    <x v="1"/>
    <x v="172"/>
    <x v="235"/>
    <x v="17"/>
    <x v="17"/>
    <x v="237"/>
    <x v="234"/>
    <x v="1"/>
    <x v="1"/>
    <x v="1"/>
  </r>
  <r>
    <x v="48"/>
    <x v="2"/>
    <x v="2"/>
    <x v="1"/>
    <x v="1"/>
    <x v="1"/>
    <x v="68"/>
    <x v="96"/>
    <x v="2"/>
    <x v="2"/>
    <x v="238"/>
    <x v="235"/>
    <x v="1"/>
    <x v="1"/>
    <x v="1"/>
  </r>
  <r>
    <x v="48"/>
    <x v="2"/>
    <x v="2"/>
    <x v="1"/>
    <x v="1"/>
    <x v="1"/>
    <x v="38"/>
    <x v="46"/>
    <x v="2"/>
    <x v="2"/>
    <x v="239"/>
    <x v="236"/>
    <x v="1"/>
    <x v="1"/>
    <x v="1"/>
  </r>
  <r>
    <x v="48"/>
    <x v="2"/>
    <x v="2"/>
    <x v="1"/>
    <x v="1"/>
    <x v="1"/>
    <x v="48"/>
    <x v="56"/>
    <x v="2"/>
    <x v="2"/>
    <x v="240"/>
    <x v="237"/>
    <x v="1"/>
    <x v="1"/>
    <x v="1"/>
  </r>
  <r>
    <x v="48"/>
    <x v="2"/>
    <x v="2"/>
    <x v="1"/>
    <x v="1"/>
    <x v="1"/>
    <x v="45"/>
    <x v="53"/>
    <x v="2"/>
    <x v="2"/>
    <x v="241"/>
    <x v="238"/>
    <x v="1"/>
    <x v="1"/>
    <x v="1"/>
  </r>
  <r>
    <x v="48"/>
    <x v="2"/>
    <x v="2"/>
    <x v="1"/>
    <x v="1"/>
    <x v="1"/>
    <x v="46"/>
    <x v="54"/>
    <x v="2"/>
    <x v="2"/>
    <x v="242"/>
    <x v="239"/>
    <x v="1"/>
    <x v="1"/>
    <x v="1"/>
  </r>
  <r>
    <x v="48"/>
    <x v="2"/>
    <x v="2"/>
    <x v="1"/>
    <x v="1"/>
    <x v="1"/>
    <x v="34"/>
    <x v="43"/>
    <x v="2"/>
    <x v="2"/>
    <x v="243"/>
    <x v="240"/>
    <x v="1"/>
    <x v="1"/>
    <x v="1"/>
  </r>
  <r>
    <x v="48"/>
    <x v="2"/>
    <x v="2"/>
    <x v="1"/>
    <x v="1"/>
    <x v="1"/>
    <x v="52"/>
    <x v="61"/>
    <x v="2"/>
    <x v="2"/>
    <x v="244"/>
    <x v="241"/>
    <x v="1"/>
    <x v="1"/>
    <x v="1"/>
  </r>
  <r>
    <x v="48"/>
    <x v="2"/>
    <x v="2"/>
    <x v="1"/>
    <x v="1"/>
    <x v="1"/>
    <x v="24"/>
    <x v="182"/>
    <x v="2"/>
    <x v="2"/>
    <x v="245"/>
    <x v="242"/>
    <x v="1"/>
    <x v="1"/>
    <x v="1"/>
  </r>
  <r>
    <x v="48"/>
    <x v="2"/>
    <x v="2"/>
    <x v="1"/>
    <x v="1"/>
    <x v="1"/>
    <x v="53"/>
    <x v="62"/>
    <x v="2"/>
    <x v="2"/>
    <x v="246"/>
    <x v="243"/>
    <x v="1"/>
    <x v="1"/>
    <x v="1"/>
  </r>
  <r>
    <x v="9"/>
    <x v="6"/>
    <x v="1"/>
    <x v="1"/>
    <x v="1"/>
    <x v="1"/>
    <x v="154"/>
    <x v="69"/>
    <x v="1"/>
    <x v="1"/>
    <x v="1"/>
    <x v="1"/>
    <x v="1"/>
    <x v="1"/>
    <x v="1"/>
  </r>
  <r>
    <x v="53"/>
    <x v="35"/>
    <x v="2"/>
    <x v="1"/>
    <x v="1"/>
    <x v="1"/>
    <x v="173"/>
    <x v="236"/>
    <x v="26"/>
    <x v="26"/>
    <x v="247"/>
    <x v="244"/>
    <x v="1"/>
    <x v="1"/>
    <x v="1"/>
  </r>
  <r>
    <x v="53"/>
    <x v="35"/>
    <x v="2"/>
    <x v="1"/>
    <x v="1"/>
    <x v="1"/>
    <x v="10"/>
    <x v="16"/>
    <x v="26"/>
    <x v="26"/>
    <x v="248"/>
    <x v="245"/>
    <x v="1"/>
    <x v="1"/>
    <x v="1"/>
  </r>
  <r>
    <x v="13"/>
    <x v="9"/>
    <x v="2"/>
    <x v="1"/>
    <x v="1"/>
    <x v="1"/>
    <x v="174"/>
    <x v="237"/>
    <x v="8"/>
    <x v="8"/>
    <x v="249"/>
    <x v="246"/>
    <x v="1"/>
    <x v="1"/>
    <x v="1"/>
  </r>
  <r>
    <x v="13"/>
    <x v="9"/>
    <x v="2"/>
    <x v="1"/>
    <x v="1"/>
    <x v="1"/>
    <x v="175"/>
    <x v="238"/>
    <x v="8"/>
    <x v="8"/>
    <x v="250"/>
    <x v="247"/>
    <x v="1"/>
    <x v="1"/>
    <x v="1"/>
  </r>
  <r>
    <x v="10"/>
    <x v="7"/>
    <x v="3"/>
    <x v="1"/>
    <x v="1"/>
    <x v="1"/>
    <x v="52"/>
    <x v="61"/>
    <x v="6"/>
    <x v="6"/>
    <x v="251"/>
    <x v="248"/>
    <x v="1"/>
    <x v="1"/>
    <x v="1"/>
  </r>
  <r>
    <x v="7"/>
    <x v="2"/>
    <x v="2"/>
    <x v="1"/>
    <x v="1"/>
    <x v="1"/>
    <x v="52"/>
    <x v="61"/>
    <x v="2"/>
    <x v="2"/>
    <x v="244"/>
    <x v="241"/>
    <x v="1"/>
    <x v="1"/>
    <x v="1"/>
  </r>
  <r>
    <x v="7"/>
    <x v="2"/>
    <x v="2"/>
    <x v="1"/>
    <x v="1"/>
    <x v="1"/>
    <x v="110"/>
    <x v="139"/>
    <x v="2"/>
    <x v="2"/>
    <x v="120"/>
    <x v="120"/>
    <x v="1"/>
    <x v="1"/>
    <x v="1"/>
  </r>
  <r>
    <x v="7"/>
    <x v="2"/>
    <x v="2"/>
    <x v="1"/>
    <x v="1"/>
    <x v="1"/>
    <x v="48"/>
    <x v="56"/>
    <x v="2"/>
    <x v="2"/>
    <x v="240"/>
    <x v="237"/>
    <x v="1"/>
    <x v="1"/>
    <x v="1"/>
  </r>
  <r>
    <x v="7"/>
    <x v="2"/>
    <x v="2"/>
    <x v="1"/>
    <x v="1"/>
    <x v="1"/>
    <x v="165"/>
    <x v="229"/>
    <x v="2"/>
    <x v="2"/>
    <x v="235"/>
    <x v="232"/>
    <x v="1"/>
    <x v="1"/>
    <x v="1"/>
  </r>
  <r>
    <x v="7"/>
    <x v="2"/>
    <x v="2"/>
    <x v="1"/>
    <x v="1"/>
    <x v="1"/>
    <x v="176"/>
    <x v="239"/>
    <x v="2"/>
    <x v="2"/>
    <x v="252"/>
    <x v="249"/>
    <x v="1"/>
    <x v="1"/>
    <x v="1"/>
  </r>
  <r>
    <x v="1"/>
    <x v="1"/>
    <x v="1"/>
    <x v="1"/>
    <x v="1"/>
    <x v="6"/>
    <x v="31"/>
    <x v="239"/>
    <x v="1"/>
    <x v="1"/>
    <x v="1"/>
    <x v="1"/>
    <x v="1"/>
    <x v="1"/>
    <x v="1"/>
  </r>
  <r>
    <x v="30"/>
    <x v="21"/>
    <x v="2"/>
    <x v="1"/>
    <x v="1"/>
    <x v="1"/>
    <x v="75"/>
    <x v="94"/>
    <x v="17"/>
    <x v="17"/>
    <x v="253"/>
    <x v="250"/>
    <x v="1"/>
    <x v="1"/>
    <x v="1"/>
  </r>
  <r>
    <x v="30"/>
    <x v="21"/>
    <x v="2"/>
    <x v="1"/>
    <x v="1"/>
    <x v="1"/>
    <x v="32"/>
    <x v="41"/>
    <x v="17"/>
    <x v="17"/>
    <x v="254"/>
    <x v="251"/>
    <x v="1"/>
    <x v="1"/>
    <x v="1"/>
  </r>
  <r>
    <x v="23"/>
    <x v="26"/>
    <x v="1"/>
    <x v="1"/>
    <x v="1"/>
    <x v="6"/>
    <x v="148"/>
    <x v="50"/>
    <x v="1"/>
    <x v="1"/>
    <x v="1"/>
    <x v="1"/>
    <x v="1"/>
    <x v="1"/>
    <x v="1"/>
  </r>
  <r>
    <x v="13"/>
    <x v="9"/>
    <x v="2"/>
    <x v="1"/>
    <x v="1"/>
    <x v="1"/>
    <x v="55"/>
    <x v="64"/>
    <x v="8"/>
    <x v="8"/>
    <x v="255"/>
    <x v="252"/>
    <x v="1"/>
    <x v="1"/>
    <x v="1"/>
  </r>
  <r>
    <x v="13"/>
    <x v="9"/>
    <x v="2"/>
    <x v="1"/>
    <x v="1"/>
    <x v="1"/>
    <x v="177"/>
    <x v="240"/>
    <x v="8"/>
    <x v="8"/>
    <x v="256"/>
    <x v="253"/>
    <x v="1"/>
    <x v="1"/>
    <x v="1"/>
  </r>
  <r>
    <x v="13"/>
    <x v="9"/>
    <x v="2"/>
    <x v="1"/>
    <x v="1"/>
    <x v="1"/>
    <x v="178"/>
    <x v="232"/>
    <x v="8"/>
    <x v="8"/>
    <x v="257"/>
    <x v="254"/>
    <x v="1"/>
    <x v="1"/>
    <x v="1"/>
  </r>
  <r>
    <x v="13"/>
    <x v="9"/>
    <x v="2"/>
    <x v="1"/>
    <x v="1"/>
    <x v="1"/>
    <x v="75"/>
    <x v="94"/>
    <x v="8"/>
    <x v="8"/>
    <x v="258"/>
    <x v="255"/>
    <x v="1"/>
    <x v="1"/>
    <x v="1"/>
  </r>
  <r>
    <x v="13"/>
    <x v="9"/>
    <x v="2"/>
    <x v="1"/>
    <x v="1"/>
    <x v="1"/>
    <x v="38"/>
    <x v="46"/>
    <x v="8"/>
    <x v="8"/>
    <x v="42"/>
    <x v="42"/>
    <x v="1"/>
    <x v="1"/>
    <x v="1"/>
  </r>
  <r>
    <x v="13"/>
    <x v="9"/>
    <x v="2"/>
    <x v="1"/>
    <x v="1"/>
    <x v="1"/>
    <x v="179"/>
    <x v="175"/>
    <x v="8"/>
    <x v="8"/>
    <x v="259"/>
    <x v="256"/>
    <x v="1"/>
    <x v="1"/>
    <x v="1"/>
  </r>
  <r>
    <x v="53"/>
    <x v="35"/>
    <x v="2"/>
    <x v="1"/>
    <x v="1"/>
    <x v="1"/>
    <x v="48"/>
    <x v="56"/>
    <x v="26"/>
    <x v="26"/>
    <x v="260"/>
    <x v="257"/>
    <x v="1"/>
    <x v="1"/>
    <x v="1"/>
  </r>
  <r>
    <x v="44"/>
    <x v="28"/>
    <x v="2"/>
    <x v="1"/>
    <x v="1"/>
    <x v="1"/>
    <x v="49"/>
    <x v="169"/>
    <x v="22"/>
    <x v="22"/>
    <x v="261"/>
    <x v="258"/>
    <x v="1"/>
    <x v="1"/>
    <x v="1"/>
  </r>
  <r>
    <x v="30"/>
    <x v="21"/>
    <x v="2"/>
    <x v="1"/>
    <x v="1"/>
    <x v="1"/>
    <x v="178"/>
    <x v="232"/>
    <x v="17"/>
    <x v="17"/>
    <x v="262"/>
    <x v="259"/>
    <x v="1"/>
    <x v="1"/>
    <x v="1"/>
  </r>
  <r>
    <x v="9"/>
    <x v="6"/>
    <x v="1"/>
    <x v="1"/>
    <x v="1"/>
    <x v="1"/>
    <x v="180"/>
    <x v="241"/>
    <x v="1"/>
    <x v="1"/>
    <x v="1"/>
    <x v="1"/>
    <x v="1"/>
    <x v="1"/>
    <x v="1"/>
  </r>
  <r>
    <x v="9"/>
    <x v="6"/>
    <x v="1"/>
    <x v="1"/>
    <x v="1"/>
    <x v="1"/>
    <x v="46"/>
    <x v="54"/>
    <x v="1"/>
    <x v="1"/>
    <x v="1"/>
    <x v="1"/>
    <x v="1"/>
    <x v="1"/>
    <x v="1"/>
  </r>
  <r>
    <x v="9"/>
    <x v="6"/>
    <x v="1"/>
    <x v="1"/>
    <x v="1"/>
    <x v="1"/>
    <x v="21"/>
    <x v="160"/>
    <x v="1"/>
    <x v="1"/>
    <x v="1"/>
    <x v="1"/>
    <x v="1"/>
    <x v="1"/>
    <x v="1"/>
  </r>
  <r>
    <x v="13"/>
    <x v="9"/>
    <x v="2"/>
    <x v="1"/>
    <x v="1"/>
    <x v="1"/>
    <x v="181"/>
    <x v="242"/>
    <x v="8"/>
    <x v="8"/>
    <x v="263"/>
    <x v="260"/>
    <x v="1"/>
    <x v="1"/>
    <x v="1"/>
  </r>
  <r>
    <x v="13"/>
    <x v="9"/>
    <x v="2"/>
    <x v="1"/>
    <x v="1"/>
    <x v="1"/>
    <x v="182"/>
    <x v="214"/>
    <x v="8"/>
    <x v="8"/>
    <x v="264"/>
    <x v="261"/>
    <x v="1"/>
    <x v="1"/>
    <x v="1"/>
  </r>
  <r>
    <x v="53"/>
    <x v="35"/>
    <x v="2"/>
    <x v="1"/>
    <x v="1"/>
    <x v="1"/>
    <x v="23"/>
    <x v="30"/>
    <x v="26"/>
    <x v="26"/>
    <x v="265"/>
    <x v="262"/>
    <x v="1"/>
    <x v="1"/>
    <x v="1"/>
  </r>
  <r>
    <x v="53"/>
    <x v="35"/>
    <x v="2"/>
    <x v="1"/>
    <x v="1"/>
    <x v="1"/>
    <x v="30"/>
    <x v="39"/>
    <x v="26"/>
    <x v="26"/>
    <x v="266"/>
    <x v="263"/>
    <x v="1"/>
    <x v="1"/>
    <x v="1"/>
  </r>
  <r>
    <x v="30"/>
    <x v="21"/>
    <x v="2"/>
    <x v="1"/>
    <x v="1"/>
    <x v="1"/>
    <x v="183"/>
    <x v="243"/>
    <x v="17"/>
    <x v="17"/>
    <x v="267"/>
    <x v="264"/>
    <x v="1"/>
    <x v="1"/>
    <x v="1"/>
  </r>
  <r>
    <x v="13"/>
    <x v="9"/>
    <x v="2"/>
    <x v="1"/>
    <x v="1"/>
    <x v="1"/>
    <x v="179"/>
    <x v="175"/>
    <x v="8"/>
    <x v="8"/>
    <x v="259"/>
    <x v="256"/>
    <x v="1"/>
    <x v="1"/>
    <x v="1"/>
  </r>
  <r>
    <x v="13"/>
    <x v="9"/>
    <x v="2"/>
    <x v="1"/>
    <x v="1"/>
    <x v="1"/>
    <x v="170"/>
    <x v="25"/>
    <x v="8"/>
    <x v="8"/>
    <x v="268"/>
    <x v="265"/>
    <x v="1"/>
    <x v="1"/>
    <x v="1"/>
  </r>
  <r>
    <x v="13"/>
    <x v="9"/>
    <x v="2"/>
    <x v="1"/>
    <x v="1"/>
    <x v="1"/>
    <x v="49"/>
    <x v="169"/>
    <x v="8"/>
    <x v="8"/>
    <x v="151"/>
    <x v="151"/>
    <x v="1"/>
    <x v="1"/>
    <x v="1"/>
  </r>
  <r>
    <x v="13"/>
    <x v="9"/>
    <x v="2"/>
    <x v="1"/>
    <x v="1"/>
    <x v="1"/>
    <x v="24"/>
    <x v="182"/>
    <x v="8"/>
    <x v="8"/>
    <x v="269"/>
    <x v="266"/>
    <x v="1"/>
    <x v="1"/>
    <x v="1"/>
  </r>
  <r>
    <x v="13"/>
    <x v="9"/>
    <x v="2"/>
    <x v="1"/>
    <x v="1"/>
    <x v="1"/>
    <x v="35"/>
    <x v="44"/>
    <x v="8"/>
    <x v="8"/>
    <x v="38"/>
    <x v="38"/>
    <x v="1"/>
    <x v="1"/>
    <x v="1"/>
  </r>
  <r>
    <x v="13"/>
    <x v="9"/>
    <x v="2"/>
    <x v="1"/>
    <x v="1"/>
    <x v="1"/>
    <x v="4"/>
    <x v="4"/>
    <x v="8"/>
    <x v="8"/>
    <x v="270"/>
    <x v="267"/>
    <x v="1"/>
    <x v="1"/>
    <x v="1"/>
  </r>
  <r>
    <x v="13"/>
    <x v="9"/>
    <x v="2"/>
    <x v="1"/>
    <x v="1"/>
    <x v="1"/>
    <x v="25"/>
    <x v="28"/>
    <x v="8"/>
    <x v="8"/>
    <x v="41"/>
    <x v="41"/>
    <x v="1"/>
    <x v="1"/>
    <x v="1"/>
  </r>
  <r>
    <x v="13"/>
    <x v="9"/>
    <x v="2"/>
    <x v="1"/>
    <x v="1"/>
    <x v="1"/>
    <x v="33"/>
    <x v="42"/>
    <x v="8"/>
    <x v="8"/>
    <x v="35"/>
    <x v="35"/>
    <x v="1"/>
    <x v="1"/>
    <x v="1"/>
  </r>
  <r>
    <x v="12"/>
    <x v="2"/>
    <x v="2"/>
    <x v="1"/>
    <x v="1"/>
    <x v="1"/>
    <x v="116"/>
    <x v="145"/>
    <x v="2"/>
    <x v="2"/>
    <x v="121"/>
    <x v="121"/>
    <x v="1"/>
    <x v="1"/>
    <x v="1"/>
  </r>
  <r>
    <x v="29"/>
    <x v="4"/>
    <x v="3"/>
    <x v="1"/>
    <x v="1"/>
    <x v="1"/>
    <x v="88"/>
    <x v="167"/>
    <x v="4"/>
    <x v="4"/>
    <x v="210"/>
    <x v="208"/>
    <x v="1"/>
    <x v="1"/>
    <x v="1"/>
  </r>
  <r>
    <x v="32"/>
    <x v="3"/>
    <x v="3"/>
    <x v="1"/>
    <x v="1"/>
    <x v="6"/>
    <x v="167"/>
    <x v="216"/>
    <x v="3"/>
    <x v="3"/>
    <x v="220"/>
    <x v="218"/>
    <x v="1"/>
    <x v="1"/>
    <x v="1"/>
  </r>
  <r>
    <x v="49"/>
    <x v="3"/>
    <x v="3"/>
    <x v="1"/>
    <x v="1"/>
    <x v="1"/>
    <x v="184"/>
    <x v="244"/>
    <x v="3"/>
    <x v="3"/>
    <x v="271"/>
    <x v="268"/>
    <x v="1"/>
    <x v="1"/>
    <x v="1"/>
  </r>
  <r>
    <x v="32"/>
    <x v="3"/>
    <x v="3"/>
    <x v="1"/>
    <x v="1"/>
    <x v="9"/>
    <x v="101"/>
    <x v="245"/>
    <x v="3"/>
    <x v="3"/>
    <x v="272"/>
    <x v="269"/>
    <x v="1"/>
    <x v="1"/>
    <x v="1"/>
  </r>
  <r>
    <x v="31"/>
    <x v="34"/>
    <x v="1"/>
    <x v="1"/>
    <x v="1"/>
    <x v="1"/>
    <x v="87"/>
    <x v="246"/>
    <x v="1"/>
    <x v="1"/>
    <x v="1"/>
    <x v="1"/>
    <x v="1"/>
    <x v="1"/>
    <x v="1"/>
  </r>
  <r>
    <x v="20"/>
    <x v="14"/>
    <x v="1"/>
    <x v="2"/>
    <x v="1"/>
    <x v="15"/>
    <x v="114"/>
    <x v="247"/>
    <x v="1"/>
    <x v="1"/>
    <x v="1"/>
    <x v="1"/>
    <x v="1"/>
    <x v="1"/>
    <x v="1"/>
  </r>
  <r>
    <x v="20"/>
    <x v="14"/>
    <x v="1"/>
    <x v="2"/>
    <x v="1"/>
    <x v="15"/>
    <x v="38"/>
    <x v="248"/>
    <x v="1"/>
    <x v="1"/>
    <x v="1"/>
    <x v="1"/>
    <x v="1"/>
    <x v="1"/>
    <x v="1"/>
  </r>
  <r>
    <x v="20"/>
    <x v="14"/>
    <x v="1"/>
    <x v="2"/>
    <x v="1"/>
    <x v="15"/>
    <x v="142"/>
    <x v="249"/>
    <x v="1"/>
    <x v="1"/>
    <x v="1"/>
    <x v="1"/>
    <x v="1"/>
    <x v="1"/>
    <x v="1"/>
  </r>
  <r>
    <x v="20"/>
    <x v="14"/>
    <x v="1"/>
    <x v="2"/>
    <x v="1"/>
    <x v="15"/>
    <x v="47"/>
    <x v="250"/>
    <x v="1"/>
    <x v="1"/>
    <x v="1"/>
    <x v="1"/>
    <x v="1"/>
    <x v="1"/>
    <x v="1"/>
  </r>
  <r>
    <x v="20"/>
    <x v="14"/>
    <x v="1"/>
    <x v="2"/>
    <x v="1"/>
    <x v="15"/>
    <x v="142"/>
    <x v="249"/>
    <x v="1"/>
    <x v="1"/>
    <x v="1"/>
    <x v="1"/>
    <x v="1"/>
    <x v="1"/>
    <x v="1"/>
  </r>
  <r>
    <x v="20"/>
    <x v="14"/>
    <x v="1"/>
    <x v="2"/>
    <x v="1"/>
    <x v="15"/>
    <x v="87"/>
    <x v="251"/>
    <x v="1"/>
    <x v="1"/>
    <x v="1"/>
    <x v="1"/>
    <x v="1"/>
    <x v="1"/>
    <x v="1"/>
  </r>
  <r>
    <x v="21"/>
    <x v="14"/>
    <x v="1"/>
    <x v="2"/>
    <x v="1"/>
    <x v="13"/>
    <x v="177"/>
    <x v="252"/>
    <x v="1"/>
    <x v="1"/>
    <x v="1"/>
    <x v="1"/>
    <x v="1"/>
    <x v="1"/>
    <x v="1"/>
  </r>
  <r>
    <x v="21"/>
    <x v="14"/>
    <x v="1"/>
    <x v="2"/>
    <x v="1"/>
    <x v="13"/>
    <x v="18"/>
    <x v="253"/>
    <x v="1"/>
    <x v="1"/>
    <x v="1"/>
    <x v="1"/>
    <x v="1"/>
    <x v="1"/>
    <x v="1"/>
  </r>
  <r>
    <x v="21"/>
    <x v="14"/>
    <x v="1"/>
    <x v="2"/>
    <x v="1"/>
    <x v="13"/>
    <x v="37"/>
    <x v="254"/>
    <x v="1"/>
    <x v="1"/>
    <x v="1"/>
    <x v="1"/>
    <x v="1"/>
    <x v="1"/>
    <x v="1"/>
  </r>
  <r>
    <x v="21"/>
    <x v="14"/>
    <x v="1"/>
    <x v="2"/>
    <x v="1"/>
    <x v="13"/>
    <x v="185"/>
    <x v="255"/>
    <x v="1"/>
    <x v="1"/>
    <x v="1"/>
    <x v="1"/>
    <x v="1"/>
    <x v="1"/>
    <x v="1"/>
  </r>
  <r>
    <x v="42"/>
    <x v="0"/>
    <x v="1"/>
    <x v="2"/>
    <x v="1"/>
    <x v="1"/>
    <x v="46"/>
    <x v="54"/>
    <x v="1"/>
    <x v="1"/>
    <x v="1"/>
    <x v="1"/>
    <x v="1"/>
    <x v="1"/>
    <x v="1"/>
  </r>
  <r>
    <x v="42"/>
    <x v="0"/>
    <x v="1"/>
    <x v="2"/>
    <x v="1"/>
    <x v="1"/>
    <x v="186"/>
    <x v="256"/>
    <x v="1"/>
    <x v="1"/>
    <x v="1"/>
    <x v="1"/>
    <x v="1"/>
    <x v="1"/>
    <x v="1"/>
  </r>
  <r>
    <x v="42"/>
    <x v="0"/>
    <x v="1"/>
    <x v="2"/>
    <x v="1"/>
    <x v="1"/>
    <x v="187"/>
    <x v="257"/>
    <x v="1"/>
    <x v="1"/>
    <x v="1"/>
    <x v="1"/>
    <x v="1"/>
    <x v="1"/>
    <x v="1"/>
  </r>
  <r>
    <x v="42"/>
    <x v="0"/>
    <x v="1"/>
    <x v="2"/>
    <x v="1"/>
    <x v="1"/>
    <x v="188"/>
    <x v="258"/>
    <x v="1"/>
    <x v="1"/>
    <x v="1"/>
    <x v="1"/>
    <x v="1"/>
    <x v="1"/>
    <x v="1"/>
  </r>
  <r>
    <x v="42"/>
    <x v="0"/>
    <x v="1"/>
    <x v="2"/>
    <x v="1"/>
    <x v="1"/>
    <x v="189"/>
    <x v="259"/>
    <x v="1"/>
    <x v="1"/>
    <x v="1"/>
    <x v="1"/>
    <x v="1"/>
    <x v="1"/>
    <x v="1"/>
  </r>
  <r>
    <x v="42"/>
    <x v="0"/>
    <x v="1"/>
    <x v="2"/>
    <x v="1"/>
    <x v="1"/>
    <x v="190"/>
    <x v="260"/>
    <x v="1"/>
    <x v="1"/>
    <x v="1"/>
    <x v="1"/>
    <x v="1"/>
    <x v="1"/>
    <x v="1"/>
  </r>
  <r>
    <x v="42"/>
    <x v="0"/>
    <x v="1"/>
    <x v="2"/>
    <x v="1"/>
    <x v="1"/>
    <x v="48"/>
    <x v="56"/>
    <x v="1"/>
    <x v="1"/>
    <x v="1"/>
    <x v="1"/>
    <x v="1"/>
    <x v="1"/>
    <x v="1"/>
  </r>
  <r>
    <x v="42"/>
    <x v="0"/>
    <x v="1"/>
    <x v="2"/>
    <x v="1"/>
    <x v="1"/>
    <x v="79"/>
    <x v="101"/>
    <x v="1"/>
    <x v="1"/>
    <x v="1"/>
    <x v="1"/>
    <x v="1"/>
    <x v="1"/>
    <x v="1"/>
  </r>
  <r>
    <x v="42"/>
    <x v="0"/>
    <x v="1"/>
    <x v="2"/>
    <x v="1"/>
    <x v="1"/>
    <x v="191"/>
    <x v="102"/>
    <x v="1"/>
    <x v="1"/>
    <x v="1"/>
    <x v="1"/>
    <x v="1"/>
    <x v="1"/>
    <x v="1"/>
  </r>
  <r>
    <x v="0"/>
    <x v="0"/>
    <x v="0"/>
    <x v="0"/>
    <x v="0"/>
    <x v="0"/>
    <x v="0"/>
    <x v="0"/>
    <x v="0"/>
    <x v="0"/>
    <x v="0"/>
    <x v="0"/>
    <x v="0"/>
    <x v="0"/>
    <x v="0"/>
  </r>
  <r>
    <x v="0"/>
    <x v="0"/>
    <x v="1"/>
    <x v="0"/>
    <x v="0"/>
    <x v="0"/>
    <x v="0"/>
    <x v="261"/>
    <x v="1"/>
    <x v="1"/>
    <x v="1"/>
    <x v="1"/>
    <x v="1"/>
    <x v="1"/>
    <x v="1"/>
  </r>
  <r>
    <x v="0"/>
    <x v="0"/>
    <x v="0"/>
    <x v="0"/>
    <x v="0"/>
    <x v="0"/>
    <x v="0"/>
    <x v="261"/>
    <x v="0"/>
    <x v="0"/>
    <x v="1"/>
    <x v="1"/>
    <x v="0"/>
    <x v="0"/>
    <x v="0"/>
  </r>
  <r>
    <x v="0"/>
    <x v="0"/>
    <x v="0"/>
    <x v="0"/>
    <x v="0"/>
    <x v="0"/>
    <x v="0"/>
    <x v="261"/>
    <x v="0"/>
    <x v="0"/>
    <x v="1"/>
    <x v="1"/>
    <x v="0"/>
    <x v="0"/>
    <x v="0"/>
  </r>
  <r>
    <x v="54"/>
    <x v="0"/>
    <x v="5"/>
    <x v="1"/>
    <x v="0"/>
    <x v="0"/>
    <x v="0"/>
    <x v="261"/>
    <x v="0"/>
    <x v="0"/>
    <x v="273"/>
    <x v="270"/>
    <x v="1"/>
    <x v="0"/>
    <x v="1"/>
  </r>
  <r>
    <x v="0"/>
    <x v="0"/>
    <x v="0"/>
    <x v="0"/>
    <x v="0"/>
    <x v="0"/>
    <x v="0"/>
    <x v="261"/>
    <x v="0"/>
    <x v="0"/>
    <x v="1"/>
    <x v="1"/>
    <x v="0"/>
    <x v="0"/>
    <x v="0"/>
  </r>
  <r>
    <x v="0"/>
    <x v="0"/>
    <x v="0"/>
    <x v="0"/>
    <x v="0"/>
    <x v="0"/>
    <x v="0"/>
    <x v="261"/>
    <x v="0"/>
    <x v="0"/>
    <x v="1"/>
    <x v="0"/>
    <x v="0"/>
    <x v="0"/>
    <x v="0"/>
  </r>
  <r>
    <x v="0"/>
    <x v="0"/>
    <x v="0"/>
    <x v="0"/>
    <x v="0"/>
    <x v="0"/>
    <x v="0"/>
    <x v="0"/>
    <x v="0"/>
    <x v="0"/>
    <x v="0"/>
    <x v="0"/>
    <x v="0"/>
    <x v="0"/>
    <x v="0"/>
  </r>
  <r>
    <x v="55"/>
    <x v="0"/>
    <x v="2"/>
    <x v="3"/>
    <x v="0"/>
    <x v="0"/>
    <x v="0"/>
    <x v="0"/>
    <x v="0"/>
    <x v="0"/>
    <x v="0"/>
    <x v="0"/>
    <x v="2"/>
    <x v="2"/>
    <x v="2"/>
  </r>
  <r>
    <x v="56"/>
    <x v="0"/>
    <x v="6"/>
    <x v="4"/>
    <x v="0"/>
    <x v="0"/>
    <x v="0"/>
    <x v="0"/>
    <x v="0"/>
    <x v="0"/>
    <x v="0"/>
    <x v="0"/>
    <x v="1"/>
    <x v="1"/>
    <x v="1"/>
  </r>
  <r>
    <x v="57"/>
    <x v="0"/>
    <x v="3"/>
    <x v="5"/>
    <x v="0"/>
    <x v="0"/>
    <x v="0"/>
    <x v="0"/>
    <x v="0"/>
    <x v="0"/>
    <x v="0"/>
    <x v="0"/>
    <x v="3"/>
    <x v="3"/>
    <x v="3"/>
  </r>
  <r>
    <x v="58"/>
    <x v="0"/>
    <x v="7"/>
    <x v="1"/>
    <x v="0"/>
    <x v="0"/>
    <x v="0"/>
    <x v="0"/>
    <x v="0"/>
    <x v="0"/>
    <x v="0"/>
    <x v="0"/>
    <x v="0"/>
    <x v="0"/>
    <x v="4"/>
  </r>
  <r>
    <x v="59"/>
    <x v="0"/>
    <x v="4"/>
    <x v="6"/>
    <x v="0"/>
    <x v="0"/>
    <x v="0"/>
    <x v="0"/>
    <x v="0"/>
    <x v="0"/>
    <x v="0"/>
    <x v="0"/>
    <x v="0"/>
    <x v="0"/>
    <x v="5"/>
  </r>
  <r>
    <x v="60"/>
    <x v="0"/>
    <x v="8"/>
    <x v="7"/>
    <x v="0"/>
    <x v="0"/>
    <x v="0"/>
    <x v="0"/>
    <x v="0"/>
    <x v="0"/>
    <x v="0"/>
    <x v="0"/>
    <x v="0"/>
    <x v="0"/>
    <x v="0"/>
  </r>
  <r>
    <x v="61"/>
    <x v="0"/>
    <x v="0"/>
    <x v="2"/>
    <x v="0"/>
    <x v="0"/>
    <x v="0"/>
    <x v="0"/>
    <x v="0"/>
    <x v="0"/>
    <x v="0"/>
    <x v="0"/>
    <x v="0"/>
    <x v="0"/>
    <x v="0"/>
  </r>
  <r>
    <x v="62"/>
    <x v="0"/>
    <x v="0"/>
    <x v="0"/>
    <x v="0"/>
    <x v="0"/>
    <x v="0"/>
    <x v="0"/>
    <x v="0"/>
    <x v="0"/>
    <x v="0"/>
    <x v="0"/>
    <x v="0"/>
    <x v="0"/>
    <x v="0"/>
  </r>
  <r>
    <x v="63"/>
    <x v="0"/>
    <x v="0"/>
    <x v="0"/>
    <x v="0"/>
    <x v="0"/>
    <x v="0"/>
    <x v="0"/>
    <x v="0"/>
    <x v="0"/>
    <x v="0"/>
    <x v="0"/>
    <x v="0"/>
    <x v="0"/>
    <x v="0"/>
  </r>
  <r>
    <x v="64"/>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0" autoFormatId="1" applyNumberFormats="0" applyBorderFormats="0" applyFontFormats="0" applyPatternFormats="0" applyAlignmentFormats="0" applyWidthHeightFormats="1" dataCaption="Values" updatedVersion="5" minRefreshableVersion="3" createdVersion="6" useAutoFormatting="1" indent="0" outline="1" outlineData="1" showDrill="1" multipleFieldFilters="0">
  <location ref="A20:C29" firstHeaderRow="0" firstDataRow="1" firstDataCol="1"/>
  <pivotFields count="15">
    <pivotField showAll="0">
      <items count="66">
        <item x="55"/>
        <item x="56"/>
        <item x="57"/>
        <item x="58"/>
        <item x="59"/>
        <item x="60"/>
        <item x="61"/>
        <item x="62"/>
        <item x="63"/>
        <item x="64"/>
        <item x="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t="default"/>
      </items>
    </pivotField>
    <pivotField showAll="0"/>
    <pivotField showAll="0"/>
    <pivotField axis="axisRow" showAll="0">
      <items count="17">
        <item m="1" x="15"/>
        <item m="1" x="11"/>
        <item m="1" x="9"/>
        <item x="2"/>
        <item x="1"/>
        <item x="6"/>
        <item m="1" x="8"/>
        <item m="1" x="10"/>
        <item m="1" x="12"/>
        <item m="1" x="14"/>
        <item x="0"/>
        <item m="1" x="13"/>
        <item x="7"/>
        <item x="3"/>
        <item x="4"/>
        <item x="5"/>
        <item t="default"/>
      </items>
    </pivotField>
    <pivotField showAll="0"/>
    <pivotField showAll="0"/>
    <pivotField showAll="0"/>
    <pivotField showAll="0"/>
    <pivotField showAll="0"/>
    <pivotField showAll="0"/>
    <pivotField dataField="1" showAll="0">
      <items count="275">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t="default"/>
      </items>
    </pivotField>
    <pivotField dataField="1" showAll="0">
      <items count="272">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t="default"/>
      </items>
    </pivotField>
    <pivotField showAll="0"/>
    <pivotField showAll="0"/>
    <pivotField showAll="0"/>
  </pivotFields>
  <rowFields count="1">
    <field x="3"/>
  </rowFields>
  <rowItems count="9">
    <i>
      <x v="3"/>
    </i>
    <i>
      <x v="4"/>
    </i>
    <i>
      <x v="5"/>
    </i>
    <i>
      <x v="10"/>
    </i>
    <i>
      <x v="12"/>
    </i>
    <i>
      <x v="13"/>
    </i>
    <i>
      <x v="14"/>
    </i>
    <i>
      <x v="15"/>
    </i>
    <i t="grand">
      <x/>
    </i>
  </rowItems>
  <colFields count="1">
    <field x="-2"/>
  </colFields>
  <colItems count="2">
    <i>
      <x/>
    </i>
    <i i="1">
      <x v="1"/>
    </i>
  </colItems>
  <dataFields count="2">
    <dataField name="Sum of Total area" fld="11" baseField="3" baseItem="0" numFmtId="43"/>
    <dataField name="Sum of Total weight_x000a_(Ton)" fld="10" baseField="0" baseItem="0"/>
  </dataFields>
  <formats count="33">
    <format dxfId="0">
      <pivotArea outline="0" collapsedLevelsAreSubtotals="1" fieldPosition="0"/>
    </format>
    <format dxfId="1">
      <pivotArea type="all" dataOnly="0" outline="0" fieldPosition="0"/>
    </format>
    <format dxfId="2">
      <pivotArea outline="0" collapsedLevelsAreSubtotals="1" fieldPosition="0"/>
    </format>
    <format dxfId="3">
      <pivotArea field="3" type="button" dataOnly="0" labelOnly="1" outline="0" fieldPosition="0"/>
    </format>
    <format dxfId="4">
      <pivotArea dataOnly="0" labelOnly="1" outline="0" fieldPosition="0"/>
    </format>
    <format dxfId="5">
      <pivotArea dataOnly="0" labelOnly="1" fieldPosition="0">
        <references count="1">
          <reference field="3" count="0"/>
        </references>
      </pivotArea>
    </format>
    <format dxfId="6">
      <pivotArea dataOnly="0" labelOnly="1" grandRow="1" outline="0" fieldPosition="0"/>
    </format>
    <format dxfId="7">
      <pivotArea dataOnly="0" labelOnly="1" outline="0" fieldPosition="0"/>
    </format>
    <format dxfId="8">
      <pivotArea type="all" dataOnly="0" outline="0" fieldPosition="0"/>
    </format>
    <format dxfId="9">
      <pivotArea outline="0" collapsedLevelsAreSubtotals="1" fieldPosition="0"/>
    </format>
    <format dxfId="10">
      <pivotArea field="3" type="button" dataOnly="0" labelOnly="1" outline="0" fieldPosition="0"/>
    </format>
    <format dxfId="11">
      <pivotArea dataOnly="0" labelOnly="1" outline="0" fieldPosition="0"/>
    </format>
    <format dxfId="12">
      <pivotArea dataOnly="0" labelOnly="1" fieldPosition="0">
        <references count="1">
          <reference field="3" count="0"/>
        </references>
      </pivotArea>
    </format>
    <format dxfId="13">
      <pivotArea dataOnly="0" labelOnly="1" grandRow="1" outline="0" fieldPosition="0"/>
    </format>
    <format dxfId="14">
      <pivotArea dataOnly="0" labelOnly="1" outline="0" fieldPosition="0"/>
    </format>
    <format dxfId="15">
      <pivotArea type="all" dataOnly="0" outline="0" fieldPosition="0"/>
    </format>
    <format dxfId="16">
      <pivotArea outline="0" collapsedLevelsAreSubtotals="1" fieldPosition="0"/>
    </format>
    <format dxfId="17">
      <pivotArea field="3" type="button" dataOnly="0" labelOnly="1" outline="0" fieldPosition="0"/>
    </format>
    <format dxfId="18">
      <pivotArea dataOnly="0" labelOnly="1" fieldPosition="0">
        <references count="1">
          <reference field="3" count="0"/>
        </references>
      </pivotArea>
    </format>
    <format dxfId="19">
      <pivotArea dataOnly="0" labelOnly="1" grandRow="1" outline="0" fieldPosition="0"/>
    </format>
    <format dxfId="20">
      <pivotArea dataOnly="0" labelOnly="1" outline="0" fieldPosition="0">
        <references count="1">
          <reference field="4294967294" count="2">
            <x v="0"/>
            <x v="1"/>
          </reference>
        </references>
      </pivotArea>
    </format>
    <format dxfId="21">
      <pivotArea type="all" dataOnly="0" outline="0" fieldPosition="0"/>
    </format>
    <format dxfId="22">
      <pivotArea outline="0" collapsedLevelsAreSubtotals="1" fieldPosition="0"/>
    </format>
    <format dxfId="23">
      <pivotArea field="3" type="button" dataOnly="0" labelOnly="1" outline="0" fieldPosition="0"/>
    </format>
    <format dxfId="24">
      <pivotArea dataOnly="0" labelOnly="1" fieldPosition="0">
        <references count="1">
          <reference field="3" count="0"/>
        </references>
      </pivotArea>
    </format>
    <format dxfId="25">
      <pivotArea dataOnly="0" labelOnly="1" grandRow="1" outline="0" fieldPosition="0"/>
    </format>
    <format dxfId="26">
      <pivotArea dataOnly="0" labelOnly="1" outline="0" fieldPosition="0">
        <references count="1">
          <reference field="4294967294" count="2">
            <x v="0"/>
            <x v="1"/>
          </reference>
        </references>
      </pivotArea>
    </format>
    <format dxfId="27">
      <pivotArea type="all" dataOnly="0" outline="0" fieldPosition="0"/>
    </format>
    <format dxfId="28">
      <pivotArea outline="0" collapsedLevelsAreSubtotals="1" fieldPosition="0"/>
    </format>
    <format dxfId="29">
      <pivotArea field="3" type="button" dataOnly="0" labelOnly="1" outline="0" fieldPosition="0"/>
    </format>
    <format dxfId="30">
      <pivotArea dataOnly="0" labelOnly="1" fieldPosition="0">
        <references count="1">
          <reference field="3" count="0"/>
        </references>
      </pivotArea>
    </format>
    <format dxfId="31">
      <pivotArea dataOnly="0" labelOnly="1" grandRow="1" outline="0" fieldPosition="0"/>
    </format>
    <format dxfId="32">
      <pivotArea dataOnly="0" labelOnly="1" outline="0" fieldPosition="0">
        <references count="1">
          <reference field="4294967294" count="2">
            <x v="0"/>
            <x v="1"/>
          </reference>
        </references>
      </pivotArea>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8" cacheId="0" autoFormatId="1" applyNumberFormats="0" applyBorderFormats="0" applyFontFormats="0" applyPatternFormats="0" applyAlignmentFormats="0" applyWidthHeightFormats="1" dataCaption="Values" updatedVersion="5" minRefreshableVersion="3" createdVersion="6" useAutoFormatting="1" indent="0" outline="1" outlineData="1" showDrill="1" multipleFieldFilters="0">
  <location ref="A3:B13" firstHeaderRow="1" firstDataRow="1" firstDataCol="1"/>
  <pivotFields count="15">
    <pivotField showAll="0"/>
    <pivotField showAll="0"/>
    <pivotField axis="axisRow" showAll="0">
      <items count="10">
        <item x="7"/>
        <item x="1"/>
        <item x="2"/>
        <item x="3"/>
        <item x="4"/>
        <item x="8"/>
        <item x="6"/>
        <item x="0"/>
        <item x="5"/>
        <item t="default"/>
      </items>
    </pivotField>
    <pivotField showAll="0"/>
    <pivotField showAll="0"/>
    <pivotField showAll="0"/>
    <pivotField showAll="0"/>
    <pivotField showAll="0"/>
    <pivotField showAll="0"/>
    <pivotField showAll="0"/>
    <pivotField dataField="1" showAll="0">
      <items count="275">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t="default"/>
      </items>
    </pivotField>
    <pivotField showAll="0"/>
    <pivotField showAll="0"/>
    <pivotField showAll="0"/>
    <pivotField showAll="0"/>
  </pivotFields>
  <rowFields count="1">
    <field x="2"/>
  </rowFields>
  <rowItems count="10">
    <i>
      <x/>
    </i>
    <i>
      <x v="1"/>
    </i>
    <i>
      <x v="2"/>
    </i>
    <i>
      <x v="3"/>
    </i>
    <i>
      <x v="4"/>
    </i>
    <i>
      <x v="5"/>
    </i>
    <i>
      <x v="6"/>
    </i>
    <i>
      <x v="7"/>
    </i>
    <i>
      <x v="8"/>
    </i>
    <i t="grand">
      <x/>
    </i>
  </rowItems>
  <colItems count="1">
    <i/>
  </colItems>
  <dataFields count="1">
    <dataField name="Sum of Total weight" fld="10" baseField="2" baseItem="4" numFmtId="176"/>
  </dataFields>
  <formats count="32">
    <format dxfId="33">
      <pivotArea outline="0" collapsedLevelsAreSubtotals="1" fieldPosition="0"/>
    </format>
    <format dxfId="34">
      <pivotArea dataOnly="0" labelOnly="1" outline="0" fieldPosition="0"/>
    </format>
    <format dxfId="35">
      <pivotArea dataOnly="0" labelOnly="1" outline="0" fieldPosition="0"/>
    </format>
    <format dxfId="36">
      <pivotArea dataOnly="0" fieldPosition="0">
        <references count="1">
          <reference field="2" count="0"/>
        </references>
      </pivotArea>
    </format>
    <format dxfId="37">
      <pivotArea type="all" dataOnly="0" outline="0" fieldPosition="0"/>
    </format>
    <format dxfId="38">
      <pivotArea outline="0" collapsedLevelsAreSubtotals="1" fieldPosition="0"/>
    </format>
    <format dxfId="39">
      <pivotArea field="2" type="button" dataOnly="0" labelOnly="1" outline="0" fieldPosition="0"/>
    </format>
    <format dxfId="40">
      <pivotArea dataOnly="0" labelOnly="1" outline="0" fieldPosition="0"/>
    </format>
    <format dxfId="41">
      <pivotArea dataOnly="0" labelOnly="1" fieldPosition="0">
        <references count="1">
          <reference field="2" count="0"/>
        </references>
      </pivotArea>
    </format>
    <format dxfId="42">
      <pivotArea dataOnly="0" labelOnly="1" grandRow="1" outline="0" fieldPosition="0"/>
    </format>
    <format dxfId="43">
      <pivotArea dataOnly="0" labelOnly="1" outline="0" fieldPosition="0"/>
    </format>
    <format dxfId="44">
      <pivotArea type="all" dataOnly="0" outline="0" fieldPosition="0"/>
    </format>
    <format dxfId="45">
      <pivotArea outline="0" collapsedLevelsAreSubtotals="1" fieldPosition="0"/>
    </format>
    <format dxfId="46">
      <pivotArea field="2" type="button" dataOnly="0" labelOnly="1" outline="0" fieldPosition="0"/>
    </format>
    <format dxfId="47">
      <pivotArea dataOnly="0" labelOnly="1" outline="0" fieldPosition="0"/>
    </format>
    <format dxfId="48">
      <pivotArea dataOnly="0" labelOnly="1" fieldPosition="0">
        <references count="1">
          <reference field="2" count="0"/>
        </references>
      </pivotArea>
    </format>
    <format dxfId="49">
      <pivotArea dataOnly="0" labelOnly="1" grandRow="1" outline="0" fieldPosition="0"/>
    </format>
    <format dxfId="50">
      <pivotArea dataOnly="0" labelOnly="1" outline="0" fieldPosition="0"/>
    </format>
    <format dxfId="51">
      <pivotArea type="all" dataOnly="0" outline="0" fieldPosition="0"/>
    </format>
    <format dxfId="52">
      <pivotArea outline="0" collapsedLevelsAreSubtotals="1" fieldPosition="0"/>
    </format>
    <format dxfId="53">
      <pivotArea field="2" type="button" dataOnly="0" labelOnly="1" outline="0" fieldPosition="0"/>
    </format>
    <format dxfId="54">
      <pivotArea dataOnly="0" labelOnly="1" outline="0" fieldPosition="0"/>
    </format>
    <format dxfId="55">
      <pivotArea dataOnly="0" labelOnly="1" fieldPosition="0">
        <references count="1">
          <reference field="2" count="0"/>
        </references>
      </pivotArea>
    </format>
    <format dxfId="56">
      <pivotArea dataOnly="0" labelOnly="1" grandRow="1" outline="0" fieldPosition="0"/>
    </format>
    <format dxfId="57">
      <pivotArea dataOnly="0" labelOnly="1" outline="0" fieldPosition="0"/>
    </format>
    <format dxfId="58">
      <pivotArea type="all" dataOnly="0" outline="0" fieldPosition="0"/>
    </format>
    <format dxfId="59">
      <pivotArea outline="0" collapsedLevelsAreSubtotals="1" fieldPosition="0"/>
    </format>
    <format dxfId="60">
      <pivotArea field="2" type="button" dataOnly="0" labelOnly="1" outline="0" fieldPosition="0"/>
    </format>
    <format dxfId="61">
      <pivotArea dataOnly="0" labelOnly="1" outline="0" fieldPosition="0"/>
    </format>
    <format dxfId="62">
      <pivotArea dataOnly="0" labelOnly="1" fieldPosition="0">
        <references count="1">
          <reference field="2" count="0"/>
        </references>
      </pivotArea>
    </format>
    <format dxfId="63">
      <pivotArea dataOnly="0" labelOnly="1" grandRow="1" outline="0" fieldPosition="0"/>
    </format>
    <format dxfId="64">
      <pivotArea dataOnly="0" labelOnly="1"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3" cacheId="0" autoFormatId="1" applyNumberFormats="0" applyBorderFormats="0" applyFontFormats="0" applyPatternFormats="0" applyAlignmentFormats="0" applyWidthHeightFormats="1" dataCaption="Values" updatedVersion="5" minRefreshableVersion="3" createdVersion="6" useAutoFormatting="1" indent="0" outline="1" outlineData="1" showDrill="1" multipleFieldFilters="0">
  <location ref="A86:B93" firstHeaderRow="1" firstDataRow="1" firstDataCol="1"/>
  <pivotFields count="15">
    <pivotField showAll="0"/>
    <pivotField showAll="0"/>
    <pivotField showAll="0"/>
    <pivotField showAll="0">
      <items count="17">
        <item m="1" x="15"/>
        <item m="1" x="11"/>
        <item m="1" x="9"/>
        <item x="2"/>
        <item x="1"/>
        <item x="6"/>
        <item m="1" x="8"/>
        <item m="1" x="10"/>
        <item m="1" x="12"/>
        <item m="1" x="14"/>
        <item x="0"/>
        <item m="1" x="13"/>
        <item x="7"/>
        <item x="3"/>
        <item x="4"/>
        <item x="5"/>
        <item t="default"/>
      </items>
    </pivotField>
    <pivotField showAll="0"/>
    <pivotField showAll="0"/>
    <pivotField showAll="0"/>
    <pivotField showAll="0"/>
    <pivotField showAll="0"/>
    <pivotField showAll="0"/>
    <pivotField dataField="1" showAll="0">
      <items count="275">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t="default"/>
      </items>
    </pivotField>
    <pivotField showAll="0"/>
    <pivotField showAll="0">
      <items count="6">
        <item x="3"/>
        <item x="2"/>
        <item m="1" x="4"/>
        <item x="1"/>
        <item x="0"/>
        <item t="default"/>
      </items>
    </pivotField>
    <pivotField showAll="0"/>
    <pivotField axis="axisRow" showAll="0">
      <items count="7">
        <item x="3"/>
        <item x="4"/>
        <item x="5"/>
        <item x="2"/>
        <item x="1"/>
        <item x="0"/>
        <item t="default"/>
      </items>
    </pivotField>
  </pivotFields>
  <rowFields count="1">
    <field x="14"/>
  </rowFields>
  <rowItems count="7">
    <i>
      <x/>
    </i>
    <i>
      <x v="1"/>
    </i>
    <i>
      <x v="2"/>
    </i>
    <i>
      <x v="3"/>
    </i>
    <i>
      <x v="4"/>
    </i>
    <i>
      <x v="5"/>
    </i>
    <i t="grand">
      <x/>
    </i>
  </rowItems>
  <colItems count="1">
    <i/>
  </colItems>
  <dataFields count="1">
    <dataField name="Sum of Total weight" fld="10" baseField="12" baseItem="0"/>
  </dataFields>
  <formats count="34">
    <format dxfId="65">
      <pivotArea outline="0" collapsedLevelsAreSubtotals="1" fieldPosition="0"/>
    </format>
    <format dxfId="66">
      <pivotArea type="all" dataOnly="0" outline="0" fieldPosition="0"/>
    </format>
    <format dxfId="67">
      <pivotArea outline="0" collapsedLevelsAreSubtotals="1" fieldPosition="0"/>
    </format>
    <format dxfId="68">
      <pivotArea field="3" type="button" dataOnly="0" labelOnly="1" outline="0" fieldPosition="0"/>
    </format>
    <format dxfId="69">
      <pivotArea dataOnly="0" labelOnly="1" outline="0" fieldPosition="0"/>
    </format>
    <format dxfId="70">
      <pivotArea dataOnly="0" labelOnly="1" grandRow="1" outline="0" fieldPosition="0"/>
    </format>
    <format dxfId="71">
      <pivotArea dataOnly="0" labelOnly="1" outline="0" fieldPosition="0"/>
    </format>
    <format dxfId="72">
      <pivotArea type="all" dataOnly="0" outline="0" fieldPosition="0"/>
    </format>
    <format dxfId="73">
      <pivotArea outline="0" collapsedLevelsAreSubtotals="1" fieldPosition="0"/>
    </format>
    <format dxfId="74">
      <pivotArea field="12" type="button" dataOnly="0" labelOnly="1" outline="0" fieldPosition="0"/>
    </format>
    <format dxfId="75">
      <pivotArea dataOnly="0" labelOnly="1" outline="0" fieldPosition="0"/>
    </format>
    <format dxfId="76">
      <pivotArea dataOnly="0" labelOnly="1" grandRow="1" outline="0" fieldPosition="0"/>
    </format>
    <format dxfId="77">
      <pivotArea dataOnly="0" labelOnly="1" outline="0" fieldPosition="0"/>
    </format>
    <format dxfId="78">
      <pivotArea type="all" dataOnly="0" outline="0" fieldPosition="0"/>
    </format>
    <format dxfId="79">
      <pivotArea outline="0" collapsedLevelsAreSubtotals="1" fieldPosition="0"/>
    </format>
    <format dxfId="80">
      <pivotArea field="14" type="button" dataOnly="0" labelOnly="1" outline="0" fieldPosition="0"/>
    </format>
    <format dxfId="81">
      <pivotArea dataOnly="0" labelOnly="1" outline="0" fieldPosition="0"/>
    </format>
    <format dxfId="82">
      <pivotArea dataOnly="0" labelOnly="1" fieldPosition="0">
        <references count="1">
          <reference field="14" count="0"/>
        </references>
      </pivotArea>
    </format>
    <format dxfId="83">
      <pivotArea dataOnly="0" labelOnly="1" grandRow="1" outline="0" fieldPosition="0"/>
    </format>
    <format dxfId="84">
      <pivotArea dataOnly="0" labelOnly="1" outline="0" fieldPosition="0"/>
    </format>
    <format dxfId="85">
      <pivotArea type="all" dataOnly="0" outline="0" fieldPosition="0"/>
    </format>
    <format dxfId="86">
      <pivotArea outline="0" collapsedLevelsAreSubtotals="1" fieldPosition="0"/>
    </format>
    <format dxfId="87">
      <pivotArea field="14" type="button" dataOnly="0" labelOnly="1" outline="0" fieldPosition="0"/>
    </format>
    <format dxfId="88">
      <pivotArea dataOnly="0" labelOnly="1" outline="0" fieldPosition="0"/>
    </format>
    <format dxfId="89">
      <pivotArea dataOnly="0" labelOnly="1" fieldPosition="0">
        <references count="1">
          <reference field="14" count="0"/>
        </references>
      </pivotArea>
    </format>
    <format dxfId="90">
      <pivotArea dataOnly="0" labelOnly="1" grandRow="1" outline="0" fieldPosition="0"/>
    </format>
    <format dxfId="91">
      <pivotArea dataOnly="0" labelOnly="1" outline="0" fieldPosition="0"/>
    </format>
    <format dxfId="92">
      <pivotArea type="all" dataOnly="0" outline="0" fieldPosition="0"/>
    </format>
    <format dxfId="93">
      <pivotArea outline="0" collapsedLevelsAreSubtotals="1" fieldPosition="0"/>
    </format>
    <format dxfId="94">
      <pivotArea field="14" type="button" dataOnly="0" labelOnly="1" outline="0" fieldPosition="0"/>
    </format>
    <format dxfId="95">
      <pivotArea dataOnly="0" labelOnly="1" outline="0" fieldPosition="0"/>
    </format>
    <format dxfId="96">
      <pivotArea dataOnly="0" labelOnly="1" fieldPosition="0">
        <references count="1">
          <reference field="14" count="0"/>
        </references>
      </pivotArea>
    </format>
    <format dxfId="97">
      <pivotArea dataOnly="0" labelOnly="1" grandRow="1" outline="0" fieldPosition="0"/>
    </format>
    <format dxfId="98">
      <pivotArea dataOnly="0" labelOnly="1"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2" cacheId="0" autoFormatId="1" applyNumberFormats="0" applyBorderFormats="0" applyFontFormats="0" applyPatternFormats="0" applyAlignmentFormats="0" applyWidthHeightFormats="1" dataCaption="Values" updatedVersion="5" minRefreshableVersion="3" createdVersion="6" useAutoFormatting="1" indent="0" outline="1" outlineData="1" showDrill="1" multipleFieldFilters="0">
  <location ref="A110:B115" firstHeaderRow="1" firstDataRow="1" firstDataCol="1"/>
  <pivotFields count="15">
    <pivotField showAll="0"/>
    <pivotField showAll="0"/>
    <pivotField showAll="0"/>
    <pivotField showAll="0">
      <items count="17">
        <item m="1" x="15"/>
        <item m="1" x="11"/>
        <item m="1" x="9"/>
        <item x="2"/>
        <item x="1"/>
        <item x="6"/>
        <item m="1" x="8"/>
        <item m="1" x="10"/>
        <item m="1" x="12"/>
        <item m="1" x="14"/>
        <item x="0"/>
        <item m="1" x="13"/>
        <item x="7"/>
        <item x="3"/>
        <item x="4"/>
        <item x="5"/>
        <item t="default"/>
      </items>
    </pivotField>
    <pivotField showAll="0"/>
    <pivotField showAll="0"/>
    <pivotField showAll="0"/>
    <pivotField showAll="0"/>
    <pivotField showAll="0"/>
    <pivotField showAll="0"/>
    <pivotField dataField="1" showAll="0">
      <items count="275">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t="default"/>
      </items>
    </pivotField>
    <pivotField showAll="0"/>
    <pivotField showAll="0">
      <items count="6">
        <item x="3"/>
        <item x="2"/>
        <item m="1" x="4"/>
        <item x="1"/>
        <item x="0"/>
        <item t="default"/>
      </items>
    </pivotField>
    <pivotField axis="axisRow" showAll="0">
      <items count="5">
        <item x="3"/>
        <item x="2"/>
        <item x="1"/>
        <item x="0"/>
        <item t="default"/>
      </items>
    </pivotField>
    <pivotField showAll="0"/>
  </pivotFields>
  <rowFields count="1">
    <field x="13"/>
  </rowFields>
  <rowItems count="5">
    <i>
      <x/>
    </i>
    <i>
      <x v="1"/>
    </i>
    <i>
      <x v="2"/>
    </i>
    <i>
      <x v="3"/>
    </i>
    <i t="grand">
      <x/>
    </i>
  </rowItems>
  <colItems count="1">
    <i/>
  </colItems>
  <dataFields count="1">
    <dataField name="Sum of Total weight" fld="10" baseField="12" baseItem="0"/>
  </dataFields>
  <formats count="34">
    <format dxfId="99">
      <pivotArea outline="0" collapsedLevelsAreSubtotals="1" fieldPosition="0"/>
    </format>
    <format dxfId="100">
      <pivotArea type="all" dataOnly="0" outline="0" fieldPosition="0"/>
    </format>
    <format dxfId="101">
      <pivotArea outline="0" collapsedLevelsAreSubtotals="1" fieldPosition="0"/>
    </format>
    <format dxfId="102">
      <pivotArea field="3" type="button" dataOnly="0" labelOnly="1" outline="0" fieldPosition="0"/>
    </format>
    <format dxfId="103">
      <pivotArea dataOnly="0" labelOnly="1" outline="0" fieldPosition="0"/>
    </format>
    <format dxfId="104">
      <pivotArea dataOnly="0" labelOnly="1" grandRow="1" outline="0" fieldPosition="0"/>
    </format>
    <format dxfId="105">
      <pivotArea dataOnly="0" labelOnly="1" outline="0" fieldPosition="0"/>
    </format>
    <format dxfId="106">
      <pivotArea type="all" dataOnly="0" outline="0" fieldPosition="0"/>
    </format>
    <format dxfId="107">
      <pivotArea outline="0" collapsedLevelsAreSubtotals="1" fieldPosition="0"/>
    </format>
    <format dxfId="108">
      <pivotArea field="12" type="button" dataOnly="0" labelOnly="1" outline="0" fieldPosition="0"/>
    </format>
    <format dxfId="109">
      <pivotArea dataOnly="0" labelOnly="1" outline="0" fieldPosition="0"/>
    </format>
    <format dxfId="110">
      <pivotArea dataOnly="0" labelOnly="1" grandRow="1" outline="0" fieldPosition="0"/>
    </format>
    <format dxfId="111">
      <pivotArea dataOnly="0" labelOnly="1" outline="0" fieldPosition="0"/>
    </format>
    <format dxfId="112">
      <pivotArea type="all" dataOnly="0" outline="0" fieldPosition="0"/>
    </format>
    <format dxfId="113">
      <pivotArea outline="0" collapsedLevelsAreSubtotals="1" fieldPosition="0"/>
    </format>
    <format dxfId="114">
      <pivotArea field="13" type="button" dataOnly="0" labelOnly="1" outline="0" fieldPosition="0"/>
    </format>
    <format dxfId="115">
      <pivotArea dataOnly="0" labelOnly="1" outline="0" fieldPosition="0"/>
    </format>
    <format dxfId="116">
      <pivotArea dataOnly="0" labelOnly="1" fieldPosition="0">
        <references count="1">
          <reference field="13" count="0"/>
        </references>
      </pivotArea>
    </format>
    <format dxfId="117">
      <pivotArea dataOnly="0" labelOnly="1" grandRow="1" outline="0" fieldPosition="0"/>
    </format>
    <format dxfId="118">
      <pivotArea dataOnly="0" labelOnly="1" outline="0" fieldPosition="0"/>
    </format>
    <format dxfId="119">
      <pivotArea type="all" dataOnly="0" outline="0" fieldPosition="0"/>
    </format>
    <format dxfId="120">
      <pivotArea outline="0" collapsedLevelsAreSubtotals="1" fieldPosition="0"/>
    </format>
    <format dxfId="121">
      <pivotArea field="13" type="button" dataOnly="0" labelOnly="1" outline="0" fieldPosition="0"/>
    </format>
    <format dxfId="122">
      <pivotArea dataOnly="0" labelOnly="1" outline="0" fieldPosition="0"/>
    </format>
    <format dxfId="123">
      <pivotArea dataOnly="0" labelOnly="1" fieldPosition="0">
        <references count="1">
          <reference field="13" count="0"/>
        </references>
      </pivotArea>
    </format>
    <format dxfId="124">
      <pivotArea dataOnly="0" labelOnly="1" grandRow="1" outline="0" fieldPosition="0"/>
    </format>
    <format dxfId="125">
      <pivotArea dataOnly="0" labelOnly="1" outline="0" fieldPosition="0"/>
    </format>
    <format dxfId="126">
      <pivotArea type="all" dataOnly="0" outline="0" fieldPosition="0"/>
    </format>
    <format dxfId="127">
      <pivotArea outline="0" collapsedLevelsAreSubtotals="1" fieldPosition="0"/>
    </format>
    <format dxfId="128">
      <pivotArea field="13" type="button" dataOnly="0" labelOnly="1" outline="0" fieldPosition="0"/>
    </format>
    <format dxfId="129">
      <pivotArea dataOnly="0" labelOnly="1" outline="0" fieldPosition="0"/>
    </format>
    <format dxfId="130">
      <pivotArea dataOnly="0" labelOnly="1" fieldPosition="0">
        <references count="1">
          <reference field="13" count="0"/>
        </references>
      </pivotArea>
    </format>
    <format dxfId="131">
      <pivotArea dataOnly="0" labelOnly="1" grandRow="1" outline="0" fieldPosition="0"/>
    </format>
    <format dxfId="132">
      <pivotArea dataOnly="0" labelOnly="1"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1" cacheId="0" autoFormatId="1" applyNumberFormats="0" applyBorderFormats="0" applyFontFormats="0" applyPatternFormats="0" applyAlignmentFormats="0" applyWidthHeightFormats="1" dataCaption="Values" updatedVersion="5" minRefreshableVersion="3" createdVersion="6" useAutoFormatting="1" indent="0" outline="1" outlineData="1" showDrill="1" multipleFieldFilters="0">
  <location ref="A67:B72" firstHeaderRow="1" firstDataRow="1" firstDataCol="1"/>
  <pivotFields count="15">
    <pivotField showAll="0"/>
    <pivotField showAll="0"/>
    <pivotField showAll="0"/>
    <pivotField showAll="0">
      <items count="17">
        <item m="1" x="15"/>
        <item m="1" x="11"/>
        <item m="1" x="9"/>
        <item x="2"/>
        <item x="1"/>
        <item x="6"/>
        <item m="1" x="8"/>
        <item m="1" x="10"/>
        <item m="1" x="12"/>
        <item m="1" x="14"/>
        <item x="0"/>
        <item m="1" x="13"/>
        <item x="7"/>
        <item x="3"/>
        <item x="4"/>
        <item x="5"/>
        <item t="default"/>
      </items>
    </pivotField>
    <pivotField showAll="0"/>
    <pivotField showAll="0"/>
    <pivotField showAll="0"/>
    <pivotField showAll="0"/>
    <pivotField showAll="0"/>
    <pivotField showAll="0"/>
    <pivotField dataField="1" showAll="0">
      <items count="275">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t="default"/>
      </items>
    </pivotField>
    <pivotField showAll="0"/>
    <pivotField showAll="0">
      <items count="6">
        <item x="3"/>
        <item x="2"/>
        <item m="1" x="4"/>
        <item x="1"/>
        <item x="0"/>
        <item t="default"/>
      </items>
    </pivotField>
    <pivotField axis="axisRow" showAll="0">
      <items count="5">
        <item x="3"/>
        <item x="2"/>
        <item x="1"/>
        <item x="0"/>
        <item t="default"/>
      </items>
    </pivotField>
    <pivotField showAll="0"/>
  </pivotFields>
  <rowFields count="1">
    <field x="13"/>
  </rowFields>
  <rowItems count="5">
    <i>
      <x/>
    </i>
    <i>
      <x v="1"/>
    </i>
    <i>
      <x v="2"/>
    </i>
    <i>
      <x v="3"/>
    </i>
    <i t="grand">
      <x/>
    </i>
  </rowItems>
  <colItems count="1">
    <i/>
  </colItems>
  <dataFields count="1">
    <dataField name="Sum of Total weight" fld="10" baseField="12" baseItem="0"/>
  </dataFields>
  <formats count="34">
    <format dxfId="133">
      <pivotArea outline="0" collapsedLevelsAreSubtotals="1" fieldPosition="0"/>
    </format>
    <format dxfId="134">
      <pivotArea type="all" dataOnly="0" outline="0" fieldPosition="0"/>
    </format>
    <format dxfId="135">
      <pivotArea outline="0" collapsedLevelsAreSubtotals="1" fieldPosition="0"/>
    </format>
    <format dxfId="136">
      <pivotArea field="3" type="button" dataOnly="0" labelOnly="1" outline="0" fieldPosition="0"/>
    </format>
    <format dxfId="137">
      <pivotArea dataOnly="0" labelOnly="1" outline="0" fieldPosition="0"/>
    </format>
    <format dxfId="138">
      <pivotArea dataOnly="0" labelOnly="1" grandRow="1" outline="0" fieldPosition="0"/>
    </format>
    <format dxfId="139">
      <pivotArea dataOnly="0" labelOnly="1" outline="0" fieldPosition="0"/>
    </format>
    <format dxfId="140">
      <pivotArea type="all" dataOnly="0" outline="0" fieldPosition="0"/>
    </format>
    <format dxfId="141">
      <pivotArea outline="0" collapsedLevelsAreSubtotals="1" fieldPosition="0"/>
    </format>
    <format dxfId="142">
      <pivotArea field="12" type="button" dataOnly="0" labelOnly="1" outline="0" fieldPosition="0"/>
    </format>
    <format dxfId="143">
      <pivotArea dataOnly="0" labelOnly="1" outline="0" fieldPosition="0"/>
    </format>
    <format dxfId="144">
      <pivotArea dataOnly="0" labelOnly="1" grandRow="1" outline="0" fieldPosition="0"/>
    </format>
    <format dxfId="145">
      <pivotArea dataOnly="0" labelOnly="1" outline="0" fieldPosition="0"/>
    </format>
    <format dxfId="146">
      <pivotArea type="all" dataOnly="0" outline="0" fieldPosition="0"/>
    </format>
    <format dxfId="147">
      <pivotArea outline="0" collapsedLevelsAreSubtotals="1" fieldPosition="0"/>
    </format>
    <format dxfId="148">
      <pivotArea field="13" type="button" dataOnly="0" labelOnly="1" outline="0" fieldPosition="0"/>
    </format>
    <format dxfId="149">
      <pivotArea dataOnly="0" labelOnly="1" outline="0" fieldPosition="0"/>
    </format>
    <format dxfId="150">
      <pivotArea dataOnly="0" labelOnly="1" fieldPosition="0">
        <references count="1">
          <reference field="13" count="0"/>
        </references>
      </pivotArea>
    </format>
    <format dxfId="151">
      <pivotArea dataOnly="0" labelOnly="1" grandRow="1" outline="0" fieldPosition="0"/>
    </format>
    <format dxfId="152">
      <pivotArea dataOnly="0" labelOnly="1" outline="0" fieldPosition="0"/>
    </format>
    <format dxfId="153">
      <pivotArea type="all" dataOnly="0" outline="0" fieldPosition="0"/>
    </format>
    <format dxfId="154">
      <pivotArea outline="0" collapsedLevelsAreSubtotals="1" fieldPosition="0"/>
    </format>
    <format dxfId="155">
      <pivotArea field="13" type="button" dataOnly="0" labelOnly="1" outline="0" fieldPosition="0"/>
    </format>
    <format dxfId="156">
      <pivotArea dataOnly="0" labelOnly="1" outline="0" fieldPosition="0"/>
    </format>
    <format dxfId="157">
      <pivotArea dataOnly="0" labelOnly="1" fieldPosition="0">
        <references count="1">
          <reference field="13" count="0"/>
        </references>
      </pivotArea>
    </format>
    <format dxfId="158">
      <pivotArea dataOnly="0" labelOnly="1" grandRow="1" outline="0" fieldPosition="0"/>
    </format>
    <format dxfId="159">
      <pivotArea dataOnly="0" labelOnly="1" outline="0" fieldPosition="0"/>
    </format>
    <format dxfId="160">
      <pivotArea type="all" dataOnly="0" outline="0" fieldPosition="0"/>
    </format>
    <format dxfId="161">
      <pivotArea outline="0" collapsedLevelsAreSubtotals="1" fieldPosition="0"/>
    </format>
    <format dxfId="162">
      <pivotArea field="13" type="button" dataOnly="0" labelOnly="1" outline="0" fieldPosition="0"/>
    </format>
    <format dxfId="163">
      <pivotArea dataOnly="0" labelOnly="1" outline="0" fieldPosition="0"/>
    </format>
    <format dxfId="164">
      <pivotArea dataOnly="0" labelOnly="1" fieldPosition="0">
        <references count="1">
          <reference field="13" count="0"/>
        </references>
      </pivotArea>
    </format>
    <format dxfId="165">
      <pivotArea dataOnly="0" labelOnly="1" grandRow="1" outline="0" fieldPosition="0"/>
    </format>
    <format dxfId="166">
      <pivotArea dataOnly="0" labelOnly="1"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0" cacheId="0" autoFormatId="1" applyNumberFormats="0" applyBorderFormats="0" applyFontFormats="0" applyPatternFormats="0" applyAlignmentFormats="0" applyWidthHeightFormats="1" dataCaption="Values" updatedVersion="5" minRefreshableVersion="3" createdVersion="6" useAutoFormatting="1" indent="0" outline="1" outlineData="1" showDrill="1" multipleFieldFilters="0">
  <location ref="A46:B51" firstHeaderRow="1" firstDataRow="1" firstDataCol="1"/>
  <pivotFields count="15">
    <pivotField showAll="0"/>
    <pivotField showAll="0"/>
    <pivotField showAll="0"/>
    <pivotField showAll="0">
      <items count="17">
        <item m="1" x="15"/>
        <item m="1" x="11"/>
        <item m="1" x="9"/>
        <item x="2"/>
        <item x="1"/>
        <item x="6"/>
        <item m="1" x="8"/>
        <item m="1" x="10"/>
        <item m="1" x="12"/>
        <item m="1" x="14"/>
        <item x="0"/>
        <item m="1" x="13"/>
        <item x="7"/>
        <item x="3"/>
        <item x="4"/>
        <item x="5"/>
        <item t="default"/>
      </items>
    </pivotField>
    <pivotField showAll="0"/>
    <pivotField showAll="0"/>
    <pivotField showAll="0"/>
    <pivotField showAll="0"/>
    <pivotField showAll="0"/>
    <pivotField showAll="0"/>
    <pivotField dataField="1" showAll="0">
      <items count="275">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t="default"/>
      </items>
    </pivotField>
    <pivotField showAll="0"/>
    <pivotField axis="axisRow" showAll="0">
      <items count="6">
        <item x="3"/>
        <item x="2"/>
        <item m="1" x="4"/>
        <item x="1"/>
        <item x="0"/>
        <item t="default"/>
      </items>
    </pivotField>
    <pivotField showAll="0"/>
    <pivotField showAll="0"/>
  </pivotFields>
  <rowFields count="1">
    <field x="12"/>
  </rowFields>
  <rowItems count="5">
    <i>
      <x/>
    </i>
    <i>
      <x v="1"/>
    </i>
    <i>
      <x v="3"/>
    </i>
    <i>
      <x v="4"/>
    </i>
    <i t="grand">
      <x/>
    </i>
  </rowItems>
  <colItems count="1">
    <i/>
  </colItems>
  <dataFields count="1">
    <dataField name="Sum of Total weight" fld="10" baseField="12" baseItem="0"/>
  </dataFields>
  <formats count="35">
    <format dxfId="167">
      <pivotArea outline="0" collapsedLevelsAreSubtotals="1" fieldPosition="0"/>
    </format>
    <format dxfId="168">
      <pivotArea type="all" dataOnly="0" outline="0" fieldPosition="0"/>
    </format>
    <format dxfId="169">
      <pivotArea outline="0" collapsedLevelsAreSubtotals="1" fieldPosition="0"/>
    </format>
    <format dxfId="170">
      <pivotArea field="3" type="button" dataOnly="0" labelOnly="1" outline="0" fieldPosition="0"/>
    </format>
    <format dxfId="171">
      <pivotArea dataOnly="0" labelOnly="1" outline="0" fieldPosition="0"/>
    </format>
    <format dxfId="172">
      <pivotArea dataOnly="0" labelOnly="1" grandRow="1" outline="0" fieldPosition="0"/>
    </format>
    <format dxfId="173">
      <pivotArea dataOnly="0" labelOnly="1" outline="0" fieldPosition="0"/>
    </format>
    <format dxfId="174">
      <pivotArea type="all" dataOnly="0" outline="0" fieldPosition="0"/>
    </format>
    <format dxfId="175">
      <pivotArea outline="0" collapsedLevelsAreSubtotals="1" fieldPosition="0"/>
    </format>
    <format dxfId="176">
      <pivotArea field="12" type="button" dataOnly="0" labelOnly="1" outline="0" fieldPosition="0"/>
    </format>
    <format dxfId="177">
      <pivotArea dataOnly="0" labelOnly="1" outline="0" fieldPosition="0"/>
    </format>
    <format dxfId="178">
      <pivotArea dataOnly="0" labelOnly="1" fieldPosition="0">
        <references count="1">
          <reference field="12" count="0"/>
        </references>
      </pivotArea>
    </format>
    <format dxfId="179">
      <pivotArea dataOnly="0" labelOnly="1" grandRow="1" outline="0" fieldPosition="0"/>
    </format>
    <format dxfId="180">
      <pivotArea dataOnly="0" labelOnly="1" outline="0" fieldPosition="0"/>
    </format>
    <format dxfId="181">
      <pivotArea type="all" dataOnly="0" outline="0" fieldPosition="0"/>
    </format>
    <format dxfId="182">
      <pivotArea outline="0" collapsedLevelsAreSubtotals="1" fieldPosition="0"/>
    </format>
    <format dxfId="183">
      <pivotArea field="12" type="button" dataOnly="0" labelOnly="1" outline="0" fieldPosition="0"/>
    </format>
    <format dxfId="184">
      <pivotArea dataOnly="0" labelOnly="1" outline="0" fieldPosition="0"/>
    </format>
    <format dxfId="185">
      <pivotArea dataOnly="0" labelOnly="1" fieldPosition="0">
        <references count="1">
          <reference field="12" count="0"/>
        </references>
      </pivotArea>
    </format>
    <format dxfId="186">
      <pivotArea dataOnly="0" labelOnly="1" grandRow="1" outline="0" fieldPosition="0"/>
    </format>
    <format dxfId="187">
      <pivotArea dataOnly="0" labelOnly="1" outline="0" fieldPosition="0"/>
    </format>
    <format dxfId="188">
      <pivotArea type="all" dataOnly="0" outline="0" fieldPosition="0"/>
    </format>
    <format dxfId="189">
      <pivotArea outline="0" collapsedLevelsAreSubtotals="1" fieldPosition="0"/>
    </format>
    <format dxfId="190">
      <pivotArea field="12" type="button" dataOnly="0" labelOnly="1" outline="0" fieldPosition="0"/>
    </format>
    <format dxfId="191">
      <pivotArea dataOnly="0" labelOnly="1" outline="0" fieldPosition="0"/>
    </format>
    <format dxfId="192">
      <pivotArea dataOnly="0" labelOnly="1" fieldPosition="0">
        <references count="1">
          <reference field="12" count="0"/>
        </references>
      </pivotArea>
    </format>
    <format dxfId="193">
      <pivotArea dataOnly="0" labelOnly="1" grandRow="1" outline="0" fieldPosition="0"/>
    </format>
    <format dxfId="194">
      <pivotArea dataOnly="0" labelOnly="1" outline="0" fieldPosition="0"/>
    </format>
    <format dxfId="195">
      <pivotArea type="all" dataOnly="0" outline="0" fieldPosition="0"/>
    </format>
    <format dxfId="196">
      <pivotArea outline="0" collapsedLevelsAreSubtotals="1" fieldPosition="0"/>
    </format>
    <format dxfId="197">
      <pivotArea field="12" type="button" dataOnly="0" labelOnly="1" outline="0" fieldPosition="0"/>
    </format>
    <format dxfId="198">
      <pivotArea dataOnly="0" labelOnly="1" outline="0" fieldPosition="0"/>
    </format>
    <format dxfId="199">
      <pivotArea dataOnly="0" labelOnly="1" fieldPosition="0">
        <references count="1">
          <reference field="12" count="0"/>
        </references>
      </pivotArea>
    </format>
    <format dxfId="200">
      <pivotArea dataOnly="0" labelOnly="1" grandRow="1" outline="0" fieldPosition="0"/>
    </format>
    <format dxfId="201">
      <pivotArea dataOnly="0" labelOnly="1"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pageSetUpPr fitToPage="1"/>
  </sheetPr>
  <dimension ref="A1:J134"/>
  <sheetViews>
    <sheetView view="pageBreakPreview" zoomScaleNormal="100" zoomScaleSheetLayoutView="100" workbookViewId="0">
      <pane xSplit="9" ySplit="7" topLeftCell="J8" activePane="bottomRight" state="frozen"/>
      <selection/>
      <selection pane="topRight"/>
      <selection pane="bottomLeft"/>
      <selection pane="bottomRight" activeCell="B1" sqref="B1:D1"/>
    </sheetView>
  </sheetViews>
  <sheetFormatPr defaultColWidth="8.75" defaultRowHeight="15"/>
  <cols>
    <col min="1" max="1" width="11" style="66" customWidth="1"/>
    <col min="2" max="2" width="33.75" style="66" customWidth="1"/>
    <col min="3" max="3" width="8.25" style="83" customWidth="1"/>
    <col min="4" max="4" width="9.75" style="67" customWidth="1"/>
    <col min="5" max="5" width="11.875" style="67" customWidth="1"/>
    <col min="6" max="6" width="9.875" style="67" customWidth="1"/>
    <col min="7" max="7" width="12" style="67" customWidth="1"/>
    <col min="8" max="8" width="11.5" style="67" customWidth="1"/>
    <col min="9" max="9" width="14.25" style="84" customWidth="1"/>
    <col min="10" max="10" width="14.75" style="66" customWidth="1"/>
    <col min="11" max="16384" width="8.75" style="66"/>
  </cols>
  <sheetData>
    <row r="1" ht="21.75" customHeight="1" spans="1:10">
      <c r="A1" s="85" t="s">
        <v>0</v>
      </c>
      <c r="B1" s="86" t="s">
        <v>1</v>
      </c>
      <c r="C1" s="86"/>
      <c r="D1" s="86"/>
      <c r="E1" s="85" t="s">
        <v>2</v>
      </c>
      <c r="F1" s="87" t="s">
        <v>3</v>
      </c>
      <c r="G1" s="87"/>
      <c r="H1" s="87"/>
      <c r="I1" s="87"/>
      <c r="J1" s="128"/>
    </row>
    <row r="2" ht="21.75" customHeight="1" spans="1:10">
      <c r="A2" s="85" t="s">
        <v>4</v>
      </c>
      <c r="B2" s="86" t="s">
        <v>5</v>
      </c>
      <c r="C2" s="86"/>
      <c r="D2" s="86"/>
      <c r="E2" s="85" t="s">
        <v>6</v>
      </c>
      <c r="F2" s="88" t="s">
        <v>7</v>
      </c>
      <c r="G2" s="88"/>
      <c r="H2" s="88"/>
      <c r="I2" s="88"/>
      <c r="J2"/>
    </row>
    <row r="3" ht="21.75" customHeight="1" spans="1:9">
      <c r="A3" s="85" t="s">
        <v>8</v>
      </c>
      <c r="B3" s="86"/>
      <c r="C3" s="86"/>
      <c r="D3" s="86"/>
      <c r="E3" s="85"/>
      <c r="F3" s="87"/>
      <c r="G3" s="87"/>
      <c r="H3" s="87"/>
      <c r="I3" s="87"/>
    </row>
    <row r="4" ht="15.75" customHeight="1" spans="1:10">
      <c r="A4" s="89" t="s">
        <v>9</v>
      </c>
      <c r="B4" s="89"/>
      <c r="C4" s="89"/>
      <c r="D4" s="89"/>
      <c r="E4" s="89"/>
      <c r="F4" s="89"/>
      <c r="G4" s="89"/>
      <c r="H4" s="89"/>
      <c r="I4" s="89"/>
      <c r="J4" s="89"/>
    </row>
    <row r="5" spans="1:8">
      <c r="A5" s="90" t="s">
        <v>10</v>
      </c>
      <c r="B5" s="91"/>
      <c r="C5" s="86"/>
      <c r="D5" s="92"/>
      <c r="E5" s="93"/>
      <c r="F5" s="92"/>
      <c r="G5" s="92"/>
      <c r="H5" s="92"/>
    </row>
    <row r="6" s="76" customFormat="1" ht="15.6" customHeight="1" spans="1:10">
      <c r="A6" s="94" t="s">
        <v>11</v>
      </c>
      <c r="B6" s="95" t="s">
        <v>12</v>
      </c>
      <c r="C6" s="95" t="s">
        <v>13</v>
      </c>
      <c r="D6" s="96" t="s">
        <v>14</v>
      </c>
      <c r="E6" s="97" t="s">
        <v>15</v>
      </c>
      <c r="F6" s="97"/>
      <c r="G6" s="97" t="s">
        <v>16</v>
      </c>
      <c r="H6" s="97"/>
      <c r="I6" s="97"/>
      <c r="J6" s="95" t="s">
        <v>17</v>
      </c>
    </row>
    <row r="7" s="76" customFormat="1" ht="16.9" customHeight="1" spans="1:10">
      <c r="A7" s="98"/>
      <c r="B7" s="99"/>
      <c r="C7" s="99"/>
      <c r="D7" s="100"/>
      <c r="E7" s="101" t="s">
        <v>18</v>
      </c>
      <c r="F7" s="102" t="s">
        <v>19</v>
      </c>
      <c r="G7" s="101" t="s">
        <v>18</v>
      </c>
      <c r="H7" s="102" t="s">
        <v>19</v>
      </c>
      <c r="I7" s="129" t="s">
        <v>20</v>
      </c>
      <c r="J7" s="99"/>
    </row>
    <row r="8" s="77" customFormat="1" spans="1:10">
      <c r="A8" s="103">
        <v>1</v>
      </c>
      <c r="B8" s="104" t="s">
        <v>21</v>
      </c>
      <c r="C8" s="103"/>
      <c r="D8" s="105"/>
      <c r="E8" s="105"/>
      <c r="F8" s="105"/>
      <c r="G8" s="105"/>
      <c r="H8" s="105"/>
      <c r="I8" s="130">
        <f ca="1">+SUBTOTAL(9,I9:I11)</f>
        <v>11053.38117</v>
      </c>
      <c r="J8" s="103"/>
    </row>
    <row r="9" s="76" customFormat="1" spans="1:10">
      <c r="A9" s="106">
        <v>1.1</v>
      </c>
      <c r="B9" s="107" t="s">
        <v>22</v>
      </c>
      <c r="C9" s="106" t="s">
        <v>23</v>
      </c>
      <c r="D9" s="108">
        <f ca="1">+GETPIVOTDATA("Sum of Total weight
(Ton)",'Pivot Sum'!$A$20)</f>
        <v>73.6892078</v>
      </c>
      <c r="E9" s="109">
        <v>150</v>
      </c>
      <c r="F9" s="110"/>
      <c r="G9" s="109">
        <f ca="1">+IF(ISNUMBER(D9),D9*E9,0)</f>
        <v>11053.38117</v>
      </c>
      <c r="H9" s="110">
        <f ca="1">+IF(ISNUMBER(D9),D9*F9,0)</f>
        <v>0</v>
      </c>
      <c r="I9" s="131">
        <f ca="1">+IF(ISNUMBER(D9),G9+H9,0)</f>
        <v>11053.38117</v>
      </c>
      <c r="J9" s="112"/>
    </row>
    <row r="10" s="76" customFormat="1" spans="1:10">
      <c r="A10" s="106">
        <v>1.2</v>
      </c>
      <c r="B10" s="107" t="s">
        <v>24</v>
      </c>
      <c r="C10" s="106" t="s">
        <v>25</v>
      </c>
      <c r="D10" s="111" t="s">
        <v>26</v>
      </c>
      <c r="E10" s="109"/>
      <c r="F10" s="110">
        <v>150</v>
      </c>
      <c r="G10" s="109">
        <f t="shared" ref="G10:G72" si="0">+IF(ISNUMBER(D10),D10*E10,0)</f>
        <v>0</v>
      </c>
      <c r="H10" s="110">
        <f t="shared" ref="H10:H73" si="1">+IF(ISNUMBER(D10),D10*F10,0)</f>
        <v>0</v>
      </c>
      <c r="I10" s="131">
        <f t="shared" ref="I10:I73" si="2">+IF(ISNUMBER(D10),G10+H10,0)</f>
        <v>0</v>
      </c>
      <c r="J10" s="112"/>
    </row>
    <row r="11" s="76" customFormat="1" spans="1:10">
      <c r="A11" s="112"/>
      <c r="B11" s="112"/>
      <c r="C11" s="112"/>
      <c r="D11" s="113"/>
      <c r="E11" s="114"/>
      <c r="F11" s="115"/>
      <c r="G11" s="109"/>
      <c r="H11" s="110"/>
      <c r="I11" s="131"/>
      <c r="J11" s="112"/>
    </row>
    <row r="12" s="77" customFormat="1" spans="1:10">
      <c r="A12" s="103">
        <v>2</v>
      </c>
      <c r="B12" s="104" t="s">
        <v>27</v>
      </c>
      <c r="C12" s="103"/>
      <c r="D12" s="116">
        <f ca="1">+SUM(D13:D19)</f>
        <v>78.40651352</v>
      </c>
      <c r="E12" s="105"/>
      <c r="F12" s="105"/>
      <c r="G12" s="117">
        <f ca="1" t="shared" si="0"/>
        <v>0</v>
      </c>
      <c r="H12" s="117">
        <f ca="1" t="shared" si="1"/>
        <v>0</v>
      </c>
      <c r="I12" s="132">
        <f ca="1">+SUBTOTAL(9,I13:I20)</f>
        <v>120401.6132476</v>
      </c>
      <c r="J12" s="103" t="s">
        <v>28</v>
      </c>
    </row>
    <row r="13" s="78" customFormat="1" ht="18" customHeight="1" spans="1:10">
      <c r="A13" s="106">
        <v>2.1</v>
      </c>
      <c r="B13" s="107" t="s">
        <v>29</v>
      </c>
      <c r="C13" s="106" t="s">
        <v>23</v>
      </c>
      <c r="D13" s="118">
        <f ca="1">+GETPIVOTDATA("Total weight
(Ton)",'Pivot Sum'!$A$3,"Material 
type","S")*J13</f>
        <v>44.79696422</v>
      </c>
      <c r="E13" s="109">
        <v>1330</v>
      </c>
      <c r="F13" s="110"/>
      <c r="G13" s="109">
        <f ca="1" t="shared" si="0"/>
        <v>59579.9624126</v>
      </c>
      <c r="H13" s="110">
        <f ca="1" t="shared" si="1"/>
        <v>0</v>
      </c>
      <c r="I13" s="131">
        <f ca="1">+IF(ISNUMBER(D13),G13+H13,0)</f>
        <v>59579.9624126</v>
      </c>
      <c r="J13" s="133">
        <v>1.06</v>
      </c>
    </row>
    <row r="14" s="78" customFormat="1" ht="18" customHeight="1" spans="1:10">
      <c r="A14" s="106">
        <v>2.2</v>
      </c>
      <c r="B14" s="107" t="s">
        <v>30</v>
      </c>
      <c r="C14" s="106" t="s">
        <v>23</v>
      </c>
      <c r="D14" s="118">
        <f ca="1">+GETPIVOTDATA("Total weight
(Ton)",'Pivot Sum'!$A$3,"Material 
type","WB")*J14</f>
        <v>0</v>
      </c>
      <c r="E14" s="109">
        <v>2100</v>
      </c>
      <c r="F14" s="110"/>
      <c r="G14" s="109">
        <f ca="1" t="shared" si="0"/>
        <v>0</v>
      </c>
      <c r="H14" s="110">
        <f ca="1" t="shared" si="1"/>
        <v>0</v>
      </c>
      <c r="I14" s="131">
        <f ca="1">+IF(ISNUMBER(D14),G14+H14,0)</f>
        <v>0</v>
      </c>
      <c r="J14" s="133">
        <v>1.05</v>
      </c>
    </row>
    <row r="15" s="78" customFormat="1" ht="18" customHeight="1" spans="1:10">
      <c r="A15" s="106">
        <v>2.3</v>
      </c>
      <c r="B15" s="107" t="s">
        <v>31</v>
      </c>
      <c r="C15" s="106" t="s">
        <v>23</v>
      </c>
      <c r="D15" s="118">
        <f ca="1">+GETPIVOTDATA("Total weight
(Ton)",'Pivot Sum'!$A$3,"Material 
type","T")*J15</f>
        <v>23.2029655</v>
      </c>
      <c r="E15" s="109">
        <v>1650</v>
      </c>
      <c r="F15" s="110"/>
      <c r="G15" s="109">
        <f ca="1" t="shared" si="0"/>
        <v>38284.893075</v>
      </c>
      <c r="H15" s="110">
        <f ca="1" t="shared" si="1"/>
        <v>0</v>
      </c>
      <c r="I15" s="131">
        <f ca="1" t="shared" si="2"/>
        <v>38284.893075</v>
      </c>
      <c r="J15" s="133">
        <v>1.1</v>
      </c>
    </row>
    <row r="16" s="78" customFormat="1" ht="18" customHeight="1" spans="1:10">
      <c r="A16" s="106">
        <v>2.4</v>
      </c>
      <c r="B16" s="107" t="s">
        <v>32</v>
      </c>
      <c r="C16" s="106" t="s">
        <v>23</v>
      </c>
      <c r="D16" s="118">
        <f ca="1">+GETPIVOTDATA("Total weight
(Ton)",'Pivot Sum'!$A$3,"Material 
type","DG")*J16</f>
        <v>0</v>
      </c>
      <c r="E16" s="109">
        <v>3500</v>
      </c>
      <c r="F16" s="110"/>
      <c r="G16" s="109">
        <f ca="1" t="shared" si="0"/>
        <v>0</v>
      </c>
      <c r="H16" s="110">
        <f ca="1" t="shared" si="1"/>
        <v>0</v>
      </c>
      <c r="I16" s="131">
        <f ca="1" t="shared" si="2"/>
        <v>0</v>
      </c>
      <c r="J16" s="133">
        <v>1.1</v>
      </c>
    </row>
    <row r="17" s="78" customFormat="1" ht="18" customHeight="1" spans="1:10">
      <c r="A17" s="106">
        <v>2.5</v>
      </c>
      <c r="B17" s="107" t="s">
        <v>33</v>
      </c>
      <c r="C17" s="106" t="s">
        <v>23</v>
      </c>
      <c r="D17" s="118">
        <f ca="1">+GETPIVOTDATA("Total weight
(Ton)",'Pivot Sum'!$A$3,"Material 
type","T250P")*J17</f>
        <v>0.794948</v>
      </c>
      <c r="E17" s="109">
        <v>1750</v>
      </c>
      <c r="F17" s="110"/>
      <c r="G17" s="109">
        <f ca="1" t="shared" si="0"/>
        <v>1391.159</v>
      </c>
      <c r="H17" s="110">
        <f ca="1" t="shared" si="1"/>
        <v>0</v>
      </c>
      <c r="I17" s="131">
        <f ca="1" t="shared" si="2"/>
        <v>1391.159</v>
      </c>
      <c r="J17" s="133">
        <v>1.1</v>
      </c>
    </row>
    <row r="18" s="78" customFormat="1" ht="18" customHeight="1" spans="1:10">
      <c r="A18" s="106">
        <v>2.6</v>
      </c>
      <c r="B18" s="107" t="s">
        <v>34</v>
      </c>
      <c r="C18" s="106" t="s">
        <v>23</v>
      </c>
      <c r="D18" s="118">
        <f ca="1">+GETPIVOTDATA("Total weight
(Ton)",'Pivot Sum'!$A$3,"Material 
type","T7P")*J18</f>
        <v>0</v>
      </c>
      <c r="E18" s="109">
        <v>2100</v>
      </c>
      <c r="F18" s="110"/>
      <c r="G18" s="109">
        <f ca="1" t="shared" si="0"/>
        <v>0</v>
      </c>
      <c r="H18" s="110">
        <f ca="1" t="shared" si="1"/>
        <v>0</v>
      </c>
      <c r="I18" s="131">
        <f ca="1" t="shared" si="2"/>
        <v>0</v>
      </c>
      <c r="J18" s="133">
        <v>1.1</v>
      </c>
    </row>
    <row r="19" s="78" customFormat="1" ht="18" customHeight="1" spans="1:10">
      <c r="A19" s="106">
        <v>2.7</v>
      </c>
      <c r="B19" s="107" t="s">
        <v>35</v>
      </c>
      <c r="C19" s="106" t="s">
        <v>23</v>
      </c>
      <c r="D19" s="118">
        <f ca="1">+GETPIVOTDATA("Total weight
(Ton)",'Pivot Sum'!$A$3,"Material 
type","Plate/waste")</f>
        <v>9.6116358</v>
      </c>
      <c r="E19" s="109">
        <v>2200</v>
      </c>
      <c r="F19" s="110"/>
      <c r="G19" s="109">
        <f ca="1" t="shared" si="0"/>
        <v>21145.59876</v>
      </c>
      <c r="H19" s="110">
        <f ca="1" t="shared" si="1"/>
        <v>0</v>
      </c>
      <c r="I19" s="131">
        <f ca="1" t="shared" si="2"/>
        <v>21145.59876</v>
      </c>
      <c r="J19" s="134">
        <v>0.15</v>
      </c>
    </row>
    <row r="20" s="78" customFormat="1" ht="18" customHeight="1" spans="1:10">
      <c r="A20" s="106"/>
      <c r="B20" s="119"/>
      <c r="C20" s="106"/>
      <c r="D20" s="118"/>
      <c r="E20" s="109"/>
      <c r="F20" s="110"/>
      <c r="G20" s="109"/>
      <c r="H20" s="110"/>
      <c r="I20" s="131"/>
      <c r="J20" s="135"/>
    </row>
    <row r="21" s="79" customFormat="1" ht="18" customHeight="1" spans="1:10">
      <c r="A21" s="120">
        <v>3</v>
      </c>
      <c r="B21" s="104" t="s">
        <v>36</v>
      </c>
      <c r="C21" s="120"/>
      <c r="D21" s="116">
        <f ca="1">+SUM(D22:D38)</f>
        <v>158.8</v>
      </c>
      <c r="E21" s="117"/>
      <c r="F21" s="117"/>
      <c r="G21" s="117"/>
      <c r="H21" s="117"/>
      <c r="I21" s="132">
        <f ca="1">+SUBTOTAL(9,I22:I38)</f>
        <v>1032.2</v>
      </c>
      <c r="J21" s="136"/>
    </row>
    <row r="22" s="78" customFormat="1" ht="18" customHeight="1" spans="1:10">
      <c r="A22" s="121">
        <v>3.1</v>
      </c>
      <c r="B22" s="107" t="s">
        <v>37</v>
      </c>
      <c r="C22" s="106" t="s">
        <v>38</v>
      </c>
      <c r="D22" s="118">
        <f>+SUMIF(Takeoff,B22,Takeoff!$I$7:$I$798)</f>
        <v>0</v>
      </c>
      <c r="E22" s="109">
        <v>3.53</v>
      </c>
      <c r="F22" s="110">
        <v>6</v>
      </c>
      <c r="G22" s="109">
        <f t="shared" si="0"/>
        <v>0</v>
      </c>
      <c r="H22" s="110">
        <f ca="1">+IF(ISNUMBER(D22),D22*F22,0)</f>
        <v>0</v>
      </c>
      <c r="I22" s="131">
        <f ca="1">+IF(ISNUMBER(D22),G22,0)</f>
        <v>0</v>
      </c>
      <c r="J22" s="135"/>
    </row>
    <row r="23" s="78" customFormat="1" ht="18" customHeight="1" spans="1:10">
      <c r="A23" s="121">
        <v>3.2</v>
      </c>
      <c r="B23" s="107" t="s">
        <v>39</v>
      </c>
      <c r="C23" s="106" t="s">
        <v>38</v>
      </c>
      <c r="D23" s="118">
        <f>+SUMIF(Takeoff,B23,Takeoff!$I$7:$I$798)</f>
        <v>0</v>
      </c>
      <c r="E23" s="109">
        <v>4.39</v>
      </c>
      <c r="F23" s="110">
        <v>6</v>
      </c>
      <c r="G23" s="109">
        <f t="shared" si="0"/>
        <v>0</v>
      </c>
      <c r="H23" s="110">
        <f t="shared" si="1"/>
        <v>0</v>
      </c>
      <c r="I23" s="131">
        <f ca="1" t="shared" ref="I23:I37" si="3">+IF(ISNUMBER(D23),G23,0)</f>
        <v>0</v>
      </c>
      <c r="J23" s="135"/>
    </row>
    <row r="24" s="78" customFormat="1" ht="18" customHeight="1" spans="1:10">
      <c r="A24" s="121">
        <v>3.3</v>
      </c>
      <c r="B24" s="107" t="s">
        <v>40</v>
      </c>
      <c r="C24" s="106" t="s">
        <v>38</v>
      </c>
      <c r="D24" s="118">
        <f>+SUMIF(Takeoff,B24,Takeoff!$I$7:$I$798)</f>
        <v>0</v>
      </c>
      <c r="E24" s="109">
        <v>5.53</v>
      </c>
      <c r="F24" s="110">
        <v>6</v>
      </c>
      <c r="G24" s="109">
        <f t="shared" si="0"/>
        <v>0</v>
      </c>
      <c r="H24" s="110">
        <f t="shared" si="1"/>
        <v>0</v>
      </c>
      <c r="I24" s="131">
        <f ca="1" t="shared" si="3"/>
        <v>0</v>
      </c>
      <c r="J24" s="135"/>
    </row>
    <row r="25" s="78" customFormat="1" ht="18" customHeight="1" spans="1:10">
      <c r="A25" s="121">
        <v>3.4</v>
      </c>
      <c r="B25" s="107" t="s">
        <v>41</v>
      </c>
      <c r="C25" s="106" t="s">
        <v>38</v>
      </c>
      <c r="D25" s="118">
        <f>+SUMIF(Takeoff,B25,Takeoff!$I$7:$I$798)</f>
        <v>0</v>
      </c>
      <c r="E25" s="109">
        <v>4.84</v>
      </c>
      <c r="F25" s="110">
        <v>7</v>
      </c>
      <c r="G25" s="109">
        <f t="shared" si="0"/>
        <v>0</v>
      </c>
      <c r="H25" s="110">
        <f t="shared" si="1"/>
        <v>0</v>
      </c>
      <c r="I25" s="131">
        <f ca="1" t="shared" si="3"/>
        <v>0</v>
      </c>
      <c r="J25" s="135"/>
    </row>
    <row r="26" s="78" customFormat="1" ht="18" customHeight="1" spans="1:10">
      <c r="A26" s="121">
        <v>3.5</v>
      </c>
      <c r="B26" s="107" t="s">
        <v>42</v>
      </c>
      <c r="C26" s="106" t="s">
        <v>38</v>
      </c>
      <c r="D26" s="118">
        <f>+SUMIF(Takeoff,B26,Takeoff!$I$7:$I$798)</f>
        <v>0</v>
      </c>
      <c r="E26" s="109">
        <v>6.02</v>
      </c>
      <c r="F26" s="110">
        <v>7</v>
      </c>
      <c r="G26" s="109">
        <f t="shared" si="0"/>
        <v>0</v>
      </c>
      <c r="H26" s="110">
        <f t="shared" si="1"/>
        <v>0</v>
      </c>
      <c r="I26" s="131">
        <f ca="1" t="shared" si="3"/>
        <v>0</v>
      </c>
      <c r="J26" s="135"/>
    </row>
    <row r="27" s="78" customFormat="1" ht="18" customHeight="1" spans="1:10">
      <c r="A27" s="121">
        <v>3.6</v>
      </c>
      <c r="B27" s="107" t="s">
        <v>43</v>
      </c>
      <c r="C27" s="106" t="s">
        <v>38</v>
      </c>
      <c r="D27" s="118">
        <f>+SUMIF(Takeoff,B27,Takeoff!$I$7:$I$798)</f>
        <v>0</v>
      </c>
      <c r="E27" s="109">
        <v>7.59</v>
      </c>
      <c r="F27" s="110">
        <v>7</v>
      </c>
      <c r="G27" s="109">
        <f t="shared" si="0"/>
        <v>0</v>
      </c>
      <c r="H27" s="110">
        <f t="shared" si="1"/>
        <v>0</v>
      </c>
      <c r="I27" s="131">
        <f ca="1" t="shared" si="3"/>
        <v>0</v>
      </c>
      <c r="J27" s="135"/>
    </row>
    <row r="28" s="78" customFormat="1" ht="18" customHeight="1" spans="1:10">
      <c r="A28" s="121">
        <v>3.7</v>
      </c>
      <c r="B28" s="107" t="s">
        <v>44</v>
      </c>
      <c r="C28" s="106" t="s">
        <v>38</v>
      </c>
      <c r="D28" s="118">
        <f>+SUMIF(Takeoff,B28,Takeoff!$I$7:$I$798)</f>
        <v>0</v>
      </c>
      <c r="E28" s="109">
        <v>9.55</v>
      </c>
      <c r="F28" s="110">
        <v>7</v>
      </c>
      <c r="G28" s="109">
        <f t="shared" si="0"/>
        <v>0</v>
      </c>
      <c r="H28" s="110">
        <f t="shared" si="1"/>
        <v>0</v>
      </c>
      <c r="I28" s="131">
        <f ca="1" t="shared" si="3"/>
        <v>0</v>
      </c>
      <c r="J28" s="135"/>
    </row>
    <row r="29" s="78" customFormat="1" ht="18" customHeight="1" spans="1:10">
      <c r="A29" s="121">
        <v>3.8</v>
      </c>
      <c r="B29" s="107" t="s">
        <v>45</v>
      </c>
      <c r="C29" s="106" t="s">
        <v>38</v>
      </c>
      <c r="D29" s="118">
        <f>+SUMIF(Takeoff,B29,Takeoff!$I$7:$I$798)</f>
        <v>0</v>
      </c>
      <c r="E29" s="109">
        <v>7.66</v>
      </c>
      <c r="F29" s="110">
        <v>8</v>
      </c>
      <c r="G29" s="109">
        <f t="shared" si="0"/>
        <v>0</v>
      </c>
      <c r="H29" s="110">
        <f t="shared" si="1"/>
        <v>0</v>
      </c>
      <c r="I29" s="131">
        <f ca="1" t="shared" si="3"/>
        <v>0</v>
      </c>
      <c r="J29" s="135"/>
    </row>
    <row r="30" s="78" customFormat="1" ht="18" customHeight="1" spans="1:10">
      <c r="A30" s="121">
        <v>3.9</v>
      </c>
      <c r="B30" s="107" t="s">
        <v>46</v>
      </c>
      <c r="C30" s="106" t="s">
        <v>38</v>
      </c>
      <c r="D30" s="118">
        <f>+SUMIF(Takeoff,B30,Takeoff!$I$7:$I$798)</f>
        <v>0</v>
      </c>
      <c r="E30" s="109">
        <v>9.65</v>
      </c>
      <c r="F30" s="110">
        <v>8</v>
      </c>
      <c r="G30" s="109">
        <f t="shared" si="0"/>
        <v>0</v>
      </c>
      <c r="H30" s="110">
        <f t="shared" si="1"/>
        <v>0</v>
      </c>
      <c r="I30" s="131">
        <f ca="1" t="shared" si="3"/>
        <v>0</v>
      </c>
      <c r="J30" s="135"/>
    </row>
    <row r="31" s="78" customFormat="1" ht="18" customHeight="1" spans="1:10">
      <c r="A31" s="122">
        <v>3.1</v>
      </c>
      <c r="B31" s="107" t="s">
        <v>47</v>
      </c>
      <c r="C31" s="106" t="s">
        <v>38</v>
      </c>
      <c r="D31" s="118">
        <f>+SUMIF(Takeoff,B31,Takeoff!$I$7:$I$798)</f>
        <v>0</v>
      </c>
      <c r="E31" s="109">
        <v>12.14</v>
      </c>
      <c r="F31" s="110">
        <v>8</v>
      </c>
      <c r="G31" s="109">
        <f t="shared" si="0"/>
        <v>0</v>
      </c>
      <c r="H31" s="110">
        <f t="shared" si="1"/>
        <v>0</v>
      </c>
      <c r="I31" s="131">
        <f ca="1" t="shared" si="3"/>
        <v>0</v>
      </c>
      <c r="J31" s="135"/>
    </row>
    <row r="32" s="78" customFormat="1" ht="18" customHeight="1" spans="1:10">
      <c r="A32" s="106">
        <v>3.11</v>
      </c>
      <c r="B32" s="107" t="s">
        <v>48</v>
      </c>
      <c r="C32" s="106" t="s">
        <v>38</v>
      </c>
      <c r="D32" s="118">
        <f>+SUMIF(Takeoff,B32,Takeoff!$I$7:$I$798)</f>
        <v>0</v>
      </c>
      <c r="E32" s="109">
        <v>10.94</v>
      </c>
      <c r="F32" s="110">
        <v>9</v>
      </c>
      <c r="G32" s="109">
        <f t="shared" si="0"/>
        <v>0</v>
      </c>
      <c r="H32" s="110">
        <f t="shared" si="1"/>
        <v>0</v>
      </c>
      <c r="I32" s="131">
        <f ca="1" t="shared" si="3"/>
        <v>0</v>
      </c>
      <c r="J32" s="135"/>
    </row>
    <row r="33" s="78" customFormat="1" ht="18" customHeight="1" spans="1:10">
      <c r="A33" s="106">
        <v>3.12</v>
      </c>
      <c r="B33" s="107" t="s">
        <v>49</v>
      </c>
      <c r="C33" s="106" t="s">
        <v>38</v>
      </c>
      <c r="D33" s="118">
        <f>+SUMIF(Takeoff,B33,Takeoff!$I$7:$I$798)</f>
        <v>0</v>
      </c>
      <c r="E33" s="109">
        <v>13.76</v>
      </c>
      <c r="F33" s="110">
        <v>9</v>
      </c>
      <c r="G33" s="109">
        <f t="shared" si="0"/>
        <v>0</v>
      </c>
      <c r="H33" s="110">
        <f t="shared" si="1"/>
        <v>0</v>
      </c>
      <c r="I33" s="131">
        <f ca="1" t="shared" si="3"/>
        <v>0</v>
      </c>
      <c r="J33" s="135"/>
    </row>
    <row r="34" s="78" customFormat="1" ht="18" customHeight="1" spans="1:10">
      <c r="A34" s="106">
        <v>3.13</v>
      </c>
      <c r="B34" s="107" t="s">
        <v>50</v>
      </c>
      <c r="C34" s="106" t="s">
        <v>38</v>
      </c>
      <c r="D34" s="118">
        <f>+SUMIF(Takeoff,B34,Takeoff!$I$7:$I$798)</f>
        <v>0</v>
      </c>
      <c r="E34" s="109">
        <v>17.77</v>
      </c>
      <c r="F34" s="110">
        <v>10</v>
      </c>
      <c r="G34" s="109">
        <f t="shared" si="0"/>
        <v>0</v>
      </c>
      <c r="H34" s="110">
        <f t="shared" si="1"/>
        <v>0</v>
      </c>
      <c r="I34" s="131">
        <f ca="1" t="shared" si="3"/>
        <v>0</v>
      </c>
      <c r="J34" s="135"/>
    </row>
    <row r="35" s="78" customFormat="1" ht="18" customHeight="1" spans="1:10">
      <c r="A35" s="106">
        <v>3.14</v>
      </c>
      <c r="B35" s="107" t="s">
        <v>51</v>
      </c>
      <c r="C35" s="106" t="s">
        <v>38</v>
      </c>
      <c r="D35" s="118">
        <f>+SUMIF(Takeoff,B35,Takeoff!$I$7:$I$798)</f>
        <v>0</v>
      </c>
      <c r="E35" s="109">
        <v>22.15</v>
      </c>
      <c r="F35" s="110">
        <v>10</v>
      </c>
      <c r="G35" s="109">
        <f t="shared" si="0"/>
        <v>0</v>
      </c>
      <c r="H35" s="110">
        <f t="shared" si="1"/>
        <v>0</v>
      </c>
      <c r="I35" s="131">
        <f ca="1" t="shared" si="3"/>
        <v>0</v>
      </c>
      <c r="J35" s="135"/>
    </row>
    <row r="36" s="78" customFormat="1" ht="18" customHeight="1" spans="1:10">
      <c r="A36" s="106">
        <v>3.15</v>
      </c>
      <c r="B36" s="107" t="s">
        <v>52</v>
      </c>
      <c r="C36" s="106" t="s">
        <v>38</v>
      </c>
      <c r="D36" s="118">
        <f>+SUMIF(Takeoff,B36,Takeoff!$I$7:$I$798)</f>
        <v>0</v>
      </c>
      <c r="E36" s="109">
        <v>25</v>
      </c>
      <c r="F36" s="110">
        <v>10</v>
      </c>
      <c r="G36" s="109">
        <f t="shared" si="0"/>
        <v>0</v>
      </c>
      <c r="H36" s="110">
        <f t="shared" si="1"/>
        <v>0</v>
      </c>
      <c r="I36" s="131">
        <f ca="1" t="shared" si="3"/>
        <v>0</v>
      </c>
      <c r="J36" s="135"/>
    </row>
    <row r="37" s="78" customFormat="1" ht="18" customHeight="1" spans="1:10">
      <c r="A37" s="106">
        <v>3.16</v>
      </c>
      <c r="B37" s="107" t="s">
        <v>53</v>
      </c>
      <c r="C37" s="106" t="s">
        <v>38</v>
      </c>
      <c r="D37" s="118">
        <f>+SUMIF(Takeoff,B37,Takeoff!$I$7:$I$798)</f>
        <v>158.8</v>
      </c>
      <c r="E37" s="109">
        <v>6.5</v>
      </c>
      <c r="F37" s="110">
        <v>8</v>
      </c>
      <c r="G37" s="109">
        <f t="shared" si="0"/>
        <v>1032.2</v>
      </c>
      <c r="H37" s="110">
        <f t="shared" si="1"/>
        <v>1270.4</v>
      </c>
      <c r="I37" s="131">
        <f ca="1" t="shared" si="3"/>
        <v>1032.2</v>
      </c>
      <c r="J37" s="135"/>
    </row>
    <row r="38" s="78" customFormat="1" ht="18" customHeight="1" spans="1:10">
      <c r="A38" s="106"/>
      <c r="B38" s="123"/>
      <c r="C38" s="106"/>
      <c r="D38" s="118"/>
      <c r="E38" s="109"/>
      <c r="F38" s="110"/>
      <c r="G38" s="109"/>
      <c r="H38" s="110"/>
      <c r="I38" s="131"/>
      <c r="J38" s="135"/>
    </row>
    <row r="39" s="79" customFormat="1" ht="18" customHeight="1" spans="1:10">
      <c r="A39" s="103">
        <v>4</v>
      </c>
      <c r="B39" s="104" t="s">
        <v>54</v>
      </c>
      <c r="C39" s="120"/>
      <c r="D39" s="117"/>
      <c r="E39" s="117"/>
      <c r="F39" s="117"/>
      <c r="G39" s="117">
        <f t="shared" si="0"/>
        <v>0</v>
      </c>
      <c r="H39" s="117">
        <f t="shared" si="1"/>
        <v>0</v>
      </c>
      <c r="I39" s="132">
        <f ca="1">+SUBTOTAL(9,I40:I46)</f>
        <v>5895.136624</v>
      </c>
      <c r="J39" s="136"/>
    </row>
    <row r="40" s="78" customFormat="1" ht="18" customHeight="1" spans="1:10">
      <c r="A40" s="106">
        <v>4.1</v>
      </c>
      <c r="B40" s="107" t="s">
        <v>55</v>
      </c>
      <c r="C40" s="106" t="s">
        <v>23</v>
      </c>
      <c r="D40" s="108">
        <f ca="1">+GETPIVOTDATA("Sum of Total weight
(Ton)",'Pivot Sum'!$A$20)</f>
        <v>73.6892078</v>
      </c>
      <c r="E40" s="109">
        <v>80</v>
      </c>
      <c r="F40" s="110"/>
      <c r="G40" s="109">
        <f ca="1" t="shared" si="0"/>
        <v>5895.136624</v>
      </c>
      <c r="H40" s="110">
        <f ca="1" t="shared" si="1"/>
        <v>0</v>
      </c>
      <c r="I40" s="131">
        <f ca="1">+IF(ISNUMBER(D40),G40+H40,0)</f>
        <v>5895.136624</v>
      </c>
      <c r="J40" s="135"/>
    </row>
    <row r="41" s="78" customFormat="1" ht="18" customHeight="1" spans="1:10">
      <c r="A41" s="106">
        <v>4.2</v>
      </c>
      <c r="B41" s="107" t="s">
        <v>56</v>
      </c>
      <c r="C41" s="106" t="s">
        <v>57</v>
      </c>
      <c r="D41" s="111"/>
      <c r="E41" s="109">
        <v>8</v>
      </c>
      <c r="F41" s="110"/>
      <c r="G41" s="109"/>
      <c r="H41" s="110"/>
      <c r="I41" s="131">
        <f>+IF(ISNUMBER(D41),G41+H41,0)</f>
        <v>0</v>
      </c>
      <c r="J41" s="135"/>
    </row>
    <row r="42" s="78" customFormat="1" ht="18" customHeight="1" spans="1:10">
      <c r="A42" s="106">
        <v>4.3</v>
      </c>
      <c r="B42" s="124" t="s">
        <v>58</v>
      </c>
      <c r="C42" s="106" t="s">
        <v>59</v>
      </c>
      <c r="D42" s="125"/>
      <c r="E42" s="126">
        <v>200</v>
      </c>
      <c r="F42" s="110"/>
      <c r="G42" s="109">
        <f t="shared" si="0"/>
        <v>0</v>
      </c>
      <c r="H42" s="110">
        <f t="shared" si="1"/>
        <v>0</v>
      </c>
      <c r="I42" s="131">
        <f t="shared" si="2"/>
        <v>0</v>
      </c>
      <c r="J42" s="135"/>
    </row>
    <row r="43" s="78" customFormat="1" ht="18" customHeight="1" spans="1:10">
      <c r="A43" s="106">
        <v>4.4</v>
      </c>
      <c r="B43" s="124" t="s">
        <v>60</v>
      </c>
      <c r="C43" s="106" t="s">
        <v>59</v>
      </c>
      <c r="D43" s="125"/>
      <c r="E43" s="126">
        <v>150</v>
      </c>
      <c r="F43" s="110"/>
      <c r="G43" s="109">
        <f t="shared" si="0"/>
        <v>0</v>
      </c>
      <c r="H43" s="110">
        <f t="shared" si="1"/>
        <v>0</v>
      </c>
      <c r="I43" s="131">
        <f t="shared" si="2"/>
        <v>0</v>
      </c>
      <c r="J43" s="135"/>
    </row>
    <row r="44" s="78" customFormat="1" ht="18" customHeight="1" spans="1:10">
      <c r="A44" s="106">
        <v>4.5</v>
      </c>
      <c r="B44" s="124" t="s">
        <v>61</v>
      </c>
      <c r="C44" s="106" t="s">
        <v>57</v>
      </c>
      <c r="D44" s="111"/>
      <c r="E44" s="126">
        <v>7</v>
      </c>
      <c r="F44" s="110"/>
      <c r="G44" s="109">
        <f t="shared" si="0"/>
        <v>0</v>
      </c>
      <c r="H44" s="110">
        <f t="shared" si="1"/>
        <v>0</v>
      </c>
      <c r="I44" s="131">
        <f t="shared" si="2"/>
        <v>0</v>
      </c>
      <c r="J44" s="135"/>
    </row>
    <row r="45" s="78" customFormat="1" ht="18" customHeight="1" spans="1:10">
      <c r="A45" s="106">
        <v>4.6</v>
      </c>
      <c r="B45" s="124" t="s">
        <v>62</v>
      </c>
      <c r="C45" s="106" t="s">
        <v>57</v>
      </c>
      <c r="D45" s="111"/>
      <c r="E45" s="126">
        <v>50</v>
      </c>
      <c r="F45" s="110"/>
      <c r="G45" s="109">
        <f t="shared" si="0"/>
        <v>0</v>
      </c>
      <c r="H45" s="110">
        <f t="shared" si="1"/>
        <v>0</v>
      </c>
      <c r="I45" s="131">
        <f t="shared" si="2"/>
        <v>0</v>
      </c>
      <c r="J45" s="135"/>
    </row>
    <row r="46" s="78" customFormat="1" ht="18" customHeight="1" spans="1:10">
      <c r="A46" s="106"/>
      <c r="B46" s="119"/>
      <c r="C46" s="106"/>
      <c r="D46" s="118"/>
      <c r="E46" s="109"/>
      <c r="F46" s="110"/>
      <c r="G46" s="109"/>
      <c r="H46" s="110"/>
      <c r="I46" s="131"/>
      <c r="J46" s="135"/>
    </row>
    <row r="47" s="79" customFormat="1" ht="18" customHeight="1" spans="1:10">
      <c r="A47" s="103">
        <v>5</v>
      </c>
      <c r="B47" s="104" t="s">
        <v>63</v>
      </c>
      <c r="C47" s="120"/>
      <c r="D47" s="117"/>
      <c r="E47" s="117"/>
      <c r="F47" s="117"/>
      <c r="G47" s="117">
        <f t="shared" si="0"/>
        <v>0</v>
      </c>
      <c r="H47" s="117">
        <f t="shared" si="1"/>
        <v>0</v>
      </c>
      <c r="I47" s="132">
        <f ca="1">+SUBTOTAL(9,I48:I58)</f>
        <v>104927.02415</v>
      </c>
      <c r="J47" s="136" t="s">
        <v>64</v>
      </c>
    </row>
    <row r="48" s="78" customFormat="1" ht="18" customHeight="1" spans="1:10">
      <c r="A48" s="106">
        <v>5.1</v>
      </c>
      <c r="B48" s="107" t="s">
        <v>65</v>
      </c>
      <c r="C48" s="106" t="s">
        <v>23</v>
      </c>
      <c r="D48" s="118">
        <f ca="1">+GETPIVOTDATA("Total weight
(Ton)",'Pivot Sum'!$A$67,"Processing","Simple")</f>
        <v>0</v>
      </c>
      <c r="E48" s="109">
        <v>110</v>
      </c>
      <c r="F48" s="110"/>
      <c r="G48" s="109">
        <f ca="1" t="shared" si="0"/>
        <v>0</v>
      </c>
      <c r="H48" s="110">
        <f ca="1" t="shared" si="1"/>
        <v>0</v>
      </c>
      <c r="I48" s="131">
        <f ca="1" t="shared" si="2"/>
        <v>0</v>
      </c>
      <c r="J48" s="106"/>
    </row>
    <row r="49" s="78" customFormat="1" ht="18" customHeight="1" spans="1:10">
      <c r="A49" s="106">
        <v>5.2</v>
      </c>
      <c r="B49" s="107" t="s">
        <v>66</v>
      </c>
      <c r="C49" s="106" t="s">
        <v>23</v>
      </c>
      <c r="D49" s="118">
        <f ca="1">+GETPIVOTDATA("Total weight
(Ton)",'Pivot Sum'!$A$67,"Processing","Standard")</f>
        <v>64.077572</v>
      </c>
      <c r="E49" s="109">
        <v>200</v>
      </c>
      <c r="F49" s="110"/>
      <c r="G49" s="109">
        <f ca="1" t="shared" si="0"/>
        <v>12815.5144</v>
      </c>
      <c r="H49" s="110">
        <f ca="1" t="shared" si="1"/>
        <v>0</v>
      </c>
      <c r="I49" s="131">
        <f ca="1" t="shared" si="2"/>
        <v>12815.5144</v>
      </c>
      <c r="J49" s="106"/>
    </row>
    <row r="50" s="78" customFormat="1" ht="18" customHeight="1" spans="1:10">
      <c r="A50" s="106">
        <v>5.3</v>
      </c>
      <c r="B50" s="107" t="s">
        <v>67</v>
      </c>
      <c r="C50" s="106" t="s">
        <v>23</v>
      </c>
      <c r="D50" s="118">
        <f ca="1">+GETPIVOTDATA("Total weight
(Ton)",'Pivot Sum'!$A$67,"Processing","High")</f>
        <v>0</v>
      </c>
      <c r="E50" s="109">
        <v>350</v>
      </c>
      <c r="F50" s="110"/>
      <c r="G50" s="109">
        <f ca="1" t="shared" si="0"/>
        <v>0</v>
      </c>
      <c r="H50" s="110">
        <f ca="1" t="shared" si="1"/>
        <v>0</v>
      </c>
      <c r="I50" s="131">
        <f ca="1" t="shared" si="2"/>
        <v>0</v>
      </c>
      <c r="J50" s="106"/>
    </row>
    <row r="51" s="78" customFormat="1" ht="18" customHeight="1" spans="1:10">
      <c r="A51" s="106">
        <v>5.4</v>
      </c>
      <c r="B51" s="107" t="s">
        <v>68</v>
      </c>
      <c r="C51" s="106" t="s">
        <v>69</v>
      </c>
      <c r="D51" s="118">
        <f ca="1">+GETPIVOTDATA("Total weight
(Ton)",'Pivot Sum'!$A$86,"Fabrication","Simple")*J51</f>
        <v>0</v>
      </c>
      <c r="E51" s="109"/>
      <c r="F51" s="110">
        <v>50</v>
      </c>
      <c r="G51" s="109">
        <f ca="1" t="shared" si="0"/>
        <v>0</v>
      </c>
      <c r="H51" s="110">
        <f ca="1" t="shared" si="1"/>
        <v>0</v>
      </c>
      <c r="I51" s="131">
        <f ca="1" t="shared" si="2"/>
        <v>0</v>
      </c>
      <c r="J51" s="137">
        <v>15</v>
      </c>
    </row>
    <row r="52" s="78" customFormat="1" ht="18" customHeight="1" spans="1:10">
      <c r="A52" s="106">
        <v>5.5</v>
      </c>
      <c r="B52" s="107" t="s">
        <v>70</v>
      </c>
      <c r="C52" s="106" t="s">
        <v>69</v>
      </c>
      <c r="D52" s="118">
        <f ca="1">+GETPIVOTDATA("Total weight
(Ton)",'Pivot Sum'!$A$86,"Fabrication","Standard")*J52</f>
        <v>1842.230195</v>
      </c>
      <c r="E52" s="109"/>
      <c r="F52" s="110">
        <v>50</v>
      </c>
      <c r="G52" s="109">
        <f ca="1" t="shared" si="0"/>
        <v>0</v>
      </c>
      <c r="H52" s="110">
        <f ca="1" t="shared" si="1"/>
        <v>92111.50975</v>
      </c>
      <c r="I52" s="131">
        <f ca="1" t="shared" si="2"/>
        <v>92111.50975</v>
      </c>
      <c r="J52" s="137">
        <v>25</v>
      </c>
    </row>
    <row r="53" s="78" customFormat="1" ht="18" customHeight="1" spans="1:10">
      <c r="A53" s="106">
        <v>5.6</v>
      </c>
      <c r="B53" s="107" t="s">
        <v>71</v>
      </c>
      <c r="C53" s="106" t="s">
        <v>69</v>
      </c>
      <c r="D53" s="118">
        <f ca="1">+GETPIVOTDATA("Total weight
(Ton)",'Pivot Sum'!$A$86,"Fabrication","High1")*J53</f>
        <v>0</v>
      </c>
      <c r="E53" s="109"/>
      <c r="F53" s="110">
        <v>50</v>
      </c>
      <c r="G53" s="109">
        <f ca="1" t="shared" si="0"/>
        <v>0</v>
      </c>
      <c r="H53" s="110">
        <f ca="1" t="shared" si="1"/>
        <v>0</v>
      </c>
      <c r="I53" s="131">
        <f ca="1" t="shared" si="2"/>
        <v>0</v>
      </c>
      <c r="J53" s="137">
        <v>30</v>
      </c>
    </row>
    <row r="54" s="78" customFormat="1" ht="18" customHeight="1" spans="1:10">
      <c r="A54" s="106">
        <v>5.7</v>
      </c>
      <c r="B54" s="107" t="s">
        <v>72</v>
      </c>
      <c r="C54" s="106" t="s">
        <v>69</v>
      </c>
      <c r="D54" s="118">
        <f ca="1">+GETPIVOTDATA("Total weight
(Ton)",'Pivot Sum'!$A$86,"Fabrication","High2")*J54</f>
        <v>0</v>
      </c>
      <c r="E54" s="109"/>
      <c r="F54" s="110">
        <v>50</v>
      </c>
      <c r="G54" s="109">
        <f ca="1" t="shared" si="0"/>
        <v>0</v>
      </c>
      <c r="H54" s="110">
        <f ca="1" t="shared" si="1"/>
        <v>0</v>
      </c>
      <c r="I54" s="131">
        <f ca="1" t="shared" si="2"/>
        <v>0</v>
      </c>
      <c r="J54" s="137">
        <v>45</v>
      </c>
    </row>
    <row r="55" s="78" customFormat="1" ht="18" customHeight="1" spans="1:10">
      <c r="A55" s="106">
        <v>5.8</v>
      </c>
      <c r="B55" s="107" t="s">
        <v>73</v>
      </c>
      <c r="C55" s="106" t="s">
        <v>69</v>
      </c>
      <c r="D55" s="118">
        <f ca="1">+GETPIVOTDATA("Total weight
(Ton)",'Pivot Sum'!$A$86,"Fabrication","High3")*J55</f>
        <v>0</v>
      </c>
      <c r="E55" s="109"/>
      <c r="F55" s="110">
        <v>50</v>
      </c>
      <c r="G55" s="109">
        <f ca="1" t="shared" si="0"/>
        <v>0</v>
      </c>
      <c r="H55" s="110">
        <f ca="1" t="shared" si="1"/>
        <v>0</v>
      </c>
      <c r="I55" s="131">
        <f ca="1" t="shared" si="2"/>
        <v>0</v>
      </c>
      <c r="J55" s="137">
        <v>50</v>
      </c>
    </row>
    <row r="56" s="78" customFormat="1" ht="18" customHeight="1" spans="1:10">
      <c r="A56" s="106">
        <v>5.9</v>
      </c>
      <c r="B56" s="107" t="s">
        <v>74</v>
      </c>
      <c r="C56" s="106" t="s">
        <v>75</v>
      </c>
      <c r="D56" s="111"/>
      <c r="E56" s="109"/>
      <c r="F56" s="110">
        <v>50</v>
      </c>
      <c r="G56" s="109">
        <f t="shared" si="0"/>
        <v>0</v>
      </c>
      <c r="H56" s="110">
        <f t="shared" si="1"/>
        <v>0</v>
      </c>
      <c r="I56" s="131">
        <f t="shared" si="2"/>
        <v>0</v>
      </c>
      <c r="J56" s="135"/>
    </row>
    <row r="57" s="78" customFormat="1" ht="18" customHeight="1" spans="1:10">
      <c r="A57" s="122">
        <v>5.1</v>
      </c>
      <c r="B57" s="124" t="s">
        <v>76</v>
      </c>
      <c r="C57" s="106" t="s">
        <v>75</v>
      </c>
      <c r="D57" s="111"/>
      <c r="E57" s="126"/>
      <c r="F57" s="127"/>
      <c r="G57" s="109">
        <f t="shared" si="0"/>
        <v>0</v>
      </c>
      <c r="H57" s="110">
        <f t="shared" si="1"/>
        <v>0</v>
      </c>
      <c r="I57" s="131">
        <f t="shared" si="2"/>
        <v>0</v>
      </c>
      <c r="J57" s="135"/>
    </row>
    <row r="58" s="78" customFormat="1" ht="18" customHeight="1" spans="1:10">
      <c r="A58" s="106"/>
      <c r="B58" s="119"/>
      <c r="C58" s="106"/>
      <c r="D58" s="118"/>
      <c r="E58" s="109"/>
      <c r="F58" s="110"/>
      <c r="G58" s="109"/>
      <c r="H58" s="110"/>
      <c r="I58" s="131"/>
      <c r="J58" s="135"/>
    </row>
    <row r="59" s="79" customFormat="1" ht="18" customHeight="1" spans="1:10">
      <c r="A59" s="103">
        <v>6</v>
      </c>
      <c r="B59" s="104" t="s">
        <v>77</v>
      </c>
      <c r="C59" s="120"/>
      <c r="D59" s="117"/>
      <c r="E59" s="117"/>
      <c r="F59" s="117"/>
      <c r="G59" s="117"/>
      <c r="H59" s="117"/>
      <c r="I59" s="132">
        <f ca="1">+SUBTOTAL(9,I60:I68)</f>
        <v>34307.85708</v>
      </c>
      <c r="J59" s="136"/>
    </row>
    <row r="60" s="78" customFormat="1" ht="18" customHeight="1" spans="1:10">
      <c r="A60" s="106">
        <v>6.1</v>
      </c>
      <c r="B60" s="107" t="s">
        <v>78</v>
      </c>
      <c r="C60" s="106" t="s">
        <v>23</v>
      </c>
      <c r="D60" s="118">
        <f ca="1">GETPIVOTDATA("Sum of Total weight
(Ton)",'Pivot Sum'!$A$20,"Finish","Galv.")</f>
        <v>0</v>
      </c>
      <c r="E60" s="109">
        <v>1000</v>
      </c>
      <c r="F60" s="110"/>
      <c r="G60" s="109">
        <f ca="1" t="shared" si="0"/>
        <v>0</v>
      </c>
      <c r="H60" s="110">
        <f ca="1" t="shared" si="1"/>
        <v>0</v>
      </c>
      <c r="I60" s="131">
        <f ca="1" t="shared" si="2"/>
        <v>0</v>
      </c>
      <c r="J60" s="135"/>
    </row>
    <row r="61" s="78" customFormat="1" ht="18" customHeight="1" spans="1:10">
      <c r="A61" s="106">
        <v>6.2</v>
      </c>
      <c r="B61" s="107" t="s">
        <v>79</v>
      </c>
      <c r="C61" s="106" t="s">
        <v>59</v>
      </c>
      <c r="D61" s="118">
        <f ca="1">+GETPIVOTDATA("Total area
(m2)",'Pivot Sum'!$A$20)-GETPIVOTDATA("Sum of Total area",'Pivot Sum'!$A$20,"Finish","Galv.")</f>
        <v>2144.2410675</v>
      </c>
      <c r="E61" s="109">
        <v>0</v>
      </c>
      <c r="F61" s="110">
        <v>8</v>
      </c>
      <c r="G61" s="109">
        <f ca="1" t="shared" si="0"/>
        <v>0</v>
      </c>
      <c r="H61" s="110">
        <f ca="1" t="shared" si="1"/>
        <v>17153.92854</v>
      </c>
      <c r="I61" s="131">
        <f ca="1" t="shared" si="2"/>
        <v>17153.92854</v>
      </c>
      <c r="J61" s="135"/>
    </row>
    <row r="62" s="78" customFormat="1" ht="18" customHeight="1" spans="1:10">
      <c r="A62" s="106">
        <v>6.3</v>
      </c>
      <c r="B62" s="124" t="s">
        <v>80</v>
      </c>
      <c r="C62" s="106" t="s">
        <v>59</v>
      </c>
      <c r="D62" s="118">
        <f ca="1">+GETPIVOTDATA("Total area
(m2)",'Pivot Sum'!$A$20,"Finish","INORGANIC ZINC")</f>
        <v>2144.2410675</v>
      </c>
      <c r="E62" s="109">
        <v>4</v>
      </c>
      <c r="F62" s="110">
        <v>4</v>
      </c>
      <c r="G62" s="109">
        <f ca="1" t="shared" si="0"/>
        <v>8576.96427</v>
      </c>
      <c r="H62" s="110">
        <f ca="1" t="shared" si="1"/>
        <v>8576.96427</v>
      </c>
      <c r="I62" s="131">
        <f ca="1" t="shared" si="2"/>
        <v>17153.92854</v>
      </c>
      <c r="J62" s="135"/>
    </row>
    <row r="63" s="78" customFormat="1" ht="18" customHeight="1" spans="1:10">
      <c r="A63" s="106">
        <v>6.4</v>
      </c>
      <c r="B63" s="124" t="s">
        <v>81</v>
      </c>
      <c r="C63" s="106" t="s">
        <v>59</v>
      </c>
      <c r="D63" s="118">
        <f ca="1">+GETPIVOTDATA("Total area
(m2)",'Pivot Sum'!$A$20,"Finish","INTERNATIONAL 99")</f>
        <v>0</v>
      </c>
      <c r="E63" s="109">
        <v>13</v>
      </c>
      <c r="F63" s="110">
        <v>4</v>
      </c>
      <c r="G63" s="109">
        <f ca="1" t="shared" si="0"/>
        <v>0</v>
      </c>
      <c r="H63" s="110">
        <f ca="1" t="shared" si="1"/>
        <v>0</v>
      </c>
      <c r="I63" s="131">
        <f ca="1" t="shared" si="2"/>
        <v>0</v>
      </c>
      <c r="J63" s="135"/>
    </row>
    <row r="64" s="78" customFormat="1" ht="18" customHeight="1" spans="1:10">
      <c r="A64" s="106">
        <v>6.5</v>
      </c>
      <c r="B64" s="124" t="s">
        <v>82</v>
      </c>
      <c r="C64" s="106" t="s">
        <v>59</v>
      </c>
      <c r="D64" s="118">
        <f ca="1">+GETPIVOTDATA("Total area
(m2)",'Pivot Sum'!$A$20,"Finish","1 COAT")</f>
        <v>0</v>
      </c>
      <c r="E64" s="109">
        <v>4</v>
      </c>
      <c r="F64" s="110">
        <v>4</v>
      </c>
      <c r="G64" s="109">
        <f ca="1" t="shared" si="0"/>
        <v>0</v>
      </c>
      <c r="H64" s="110">
        <f ca="1" t="shared" si="1"/>
        <v>0</v>
      </c>
      <c r="I64" s="131">
        <f ca="1" t="shared" si="2"/>
        <v>0</v>
      </c>
      <c r="J64" s="135"/>
    </row>
    <row r="65" s="78" customFormat="1" ht="18" customHeight="1" spans="1:10">
      <c r="A65" s="106">
        <v>6.6</v>
      </c>
      <c r="B65" s="124" t="s">
        <v>83</v>
      </c>
      <c r="C65" s="106" t="s">
        <v>59</v>
      </c>
      <c r="D65" s="118">
        <f ca="1">+GETPIVOTDATA("Total area
(m2)",'Pivot Sum'!$A$20,"Finish","2 COAT")</f>
        <v>0</v>
      </c>
      <c r="E65" s="109">
        <v>13</v>
      </c>
      <c r="F65" s="110">
        <v>8</v>
      </c>
      <c r="G65" s="109">
        <f ca="1" t="shared" si="0"/>
        <v>0</v>
      </c>
      <c r="H65" s="110">
        <f ca="1" t="shared" si="1"/>
        <v>0</v>
      </c>
      <c r="I65" s="131">
        <f ca="1" t="shared" si="2"/>
        <v>0</v>
      </c>
      <c r="J65" s="135"/>
    </row>
    <row r="66" s="78" customFormat="1" ht="18" customHeight="1" spans="1:10">
      <c r="A66" s="106">
        <v>6.7</v>
      </c>
      <c r="B66" s="124" t="s">
        <v>84</v>
      </c>
      <c r="C66" s="106" t="s">
        <v>59</v>
      </c>
      <c r="D66" s="118">
        <f ca="1">+GETPIVOTDATA("Total area
(m2)",'Pivot Sum'!$A$20,"Finish","3 COAT")</f>
        <v>0</v>
      </c>
      <c r="E66" s="109">
        <v>18</v>
      </c>
      <c r="F66" s="110">
        <v>12</v>
      </c>
      <c r="G66" s="109">
        <f ca="1" t="shared" si="0"/>
        <v>0</v>
      </c>
      <c r="H66" s="110">
        <f ca="1" t="shared" si="1"/>
        <v>0</v>
      </c>
      <c r="I66" s="131">
        <f ca="1" t="shared" si="2"/>
        <v>0</v>
      </c>
      <c r="J66" s="135"/>
    </row>
    <row r="67" s="78" customFormat="1" ht="18" customHeight="1" spans="1:10">
      <c r="A67" s="106">
        <v>6.8</v>
      </c>
      <c r="B67" s="124" t="s">
        <v>85</v>
      </c>
      <c r="C67" s="106" t="s">
        <v>59</v>
      </c>
      <c r="D67" s="118">
        <f ca="1">+GETPIVOTDATA("Total area
(m2)",'Pivot Sum'!$A$20,"Finish","Powder coat")</f>
        <v>0</v>
      </c>
      <c r="E67" s="109">
        <v>12</v>
      </c>
      <c r="F67" s="110"/>
      <c r="G67" s="109">
        <f ca="1" t="shared" si="0"/>
        <v>0</v>
      </c>
      <c r="H67" s="110">
        <f ca="1" t="shared" si="1"/>
        <v>0</v>
      </c>
      <c r="I67" s="131">
        <f ca="1" t="shared" si="2"/>
        <v>0</v>
      </c>
      <c r="J67" s="135"/>
    </row>
    <row r="68" s="78" customFormat="1" ht="18" customHeight="1" spans="1:10">
      <c r="A68" s="106">
        <v>6.9</v>
      </c>
      <c r="B68" s="124" t="s">
        <v>86</v>
      </c>
      <c r="C68" s="106" t="s">
        <v>59</v>
      </c>
      <c r="D68" s="118">
        <f ca="1">SUM(D63:D66)</f>
        <v>0</v>
      </c>
      <c r="E68" s="109">
        <v>10</v>
      </c>
      <c r="F68" s="110"/>
      <c r="G68" s="109">
        <f ca="1" t="shared" si="0"/>
        <v>0</v>
      </c>
      <c r="H68" s="110">
        <f ca="1" t="shared" si="1"/>
        <v>0</v>
      </c>
      <c r="I68" s="131">
        <f ca="1" t="shared" si="2"/>
        <v>0</v>
      </c>
      <c r="J68" s="135"/>
    </row>
    <row r="69" s="78" customFormat="1" ht="18" customHeight="1" spans="1:10">
      <c r="A69" s="106"/>
      <c r="B69" s="138"/>
      <c r="C69" s="106"/>
      <c r="D69" s="118"/>
      <c r="E69" s="109"/>
      <c r="F69" s="110"/>
      <c r="G69" s="109"/>
      <c r="H69" s="110"/>
      <c r="I69" s="131"/>
      <c r="J69" s="135"/>
    </row>
    <row r="70" s="79" customFormat="1" ht="18" customHeight="1" spans="1:10">
      <c r="A70" s="103">
        <v>7</v>
      </c>
      <c r="B70" s="104" t="s">
        <v>87</v>
      </c>
      <c r="C70" s="120"/>
      <c r="D70" s="117"/>
      <c r="E70" s="117"/>
      <c r="F70" s="117"/>
      <c r="G70" s="117"/>
      <c r="H70" s="117"/>
      <c r="I70" s="132">
        <f ca="1">+SUBTOTAL(9,I71:I72)</f>
        <v>7368.92078</v>
      </c>
      <c r="J70" s="136"/>
    </row>
    <row r="71" s="78" customFormat="1" ht="18" customHeight="1" spans="1:10">
      <c r="A71" s="106">
        <v>7.1</v>
      </c>
      <c r="B71" s="107" t="s">
        <v>88</v>
      </c>
      <c r="C71" s="106" t="s">
        <v>23</v>
      </c>
      <c r="D71" s="118">
        <f ca="1">+GETPIVOTDATA("Sum of Total weight
(Ton)",'Pivot Sum'!$A$20)</f>
        <v>73.6892078</v>
      </c>
      <c r="E71" s="109">
        <v>100</v>
      </c>
      <c r="F71" s="110"/>
      <c r="G71" s="109">
        <f ca="1" t="shared" si="0"/>
        <v>7368.92078</v>
      </c>
      <c r="H71" s="110">
        <f ca="1" t="shared" si="1"/>
        <v>0</v>
      </c>
      <c r="I71" s="131">
        <f ca="1">+IF(ISNUMBER(D71),G71+H71,0)</f>
        <v>7368.92078</v>
      </c>
      <c r="J71" s="135" t="s">
        <v>89</v>
      </c>
    </row>
    <row r="72" s="78" customFormat="1" ht="18" customHeight="1" spans="1:10">
      <c r="A72" s="106">
        <v>7.2</v>
      </c>
      <c r="B72" s="139" t="s">
        <v>90</v>
      </c>
      <c r="C72" s="106" t="s">
        <v>57</v>
      </c>
      <c r="D72" s="111">
        <v>0</v>
      </c>
      <c r="E72" s="109"/>
      <c r="F72" s="110">
        <v>100</v>
      </c>
      <c r="G72" s="109">
        <f t="shared" si="0"/>
        <v>0</v>
      </c>
      <c r="H72" s="110">
        <f t="shared" si="1"/>
        <v>0</v>
      </c>
      <c r="I72" s="131">
        <f t="shared" si="2"/>
        <v>0</v>
      </c>
      <c r="J72" s="135"/>
    </row>
    <row r="73" s="78" customFormat="1" ht="18" customHeight="1" spans="1:10">
      <c r="A73" s="106">
        <v>7.3</v>
      </c>
      <c r="B73" s="139" t="s">
        <v>91</v>
      </c>
      <c r="C73" s="106" t="s">
        <v>92</v>
      </c>
      <c r="D73" s="111">
        <v>0</v>
      </c>
      <c r="E73" s="109"/>
      <c r="F73" s="110">
        <v>500</v>
      </c>
      <c r="G73" s="109"/>
      <c r="H73" s="110">
        <f t="shared" si="1"/>
        <v>0</v>
      </c>
      <c r="I73" s="131">
        <f t="shared" si="2"/>
        <v>0</v>
      </c>
      <c r="J73" s="135"/>
    </row>
    <row r="74" s="78" customFormat="1" ht="18" customHeight="1" spans="1:10">
      <c r="A74" s="106">
        <v>7.4</v>
      </c>
      <c r="B74" s="139" t="s">
        <v>93</v>
      </c>
      <c r="C74" s="106" t="s">
        <v>92</v>
      </c>
      <c r="D74" s="111">
        <v>0</v>
      </c>
      <c r="E74" s="109"/>
      <c r="F74" s="110">
        <v>1000</v>
      </c>
      <c r="G74" s="109"/>
      <c r="H74" s="110">
        <f t="shared" ref="H74" si="4">+IF(ISNUMBER(D74),D74*F74,0)</f>
        <v>0</v>
      </c>
      <c r="I74" s="131">
        <f t="shared" ref="I74" si="5">+IF(ISNUMBER(D74),G74+H74,0)</f>
        <v>0</v>
      </c>
      <c r="J74" s="135"/>
    </row>
    <row r="75" s="78" customFormat="1" ht="18" customHeight="1" spans="1:10">
      <c r="A75" s="106"/>
      <c r="B75" s="139"/>
      <c r="C75" s="106"/>
      <c r="D75" s="118"/>
      <c r="E75" s="109"/>
      <c r="F75" s="110"/>
      <c r="G75" s="109"/>
      <c r="H75" s="110"/>
      <c r="I75" s="131"/>
      <c r="J75" s="135"/>
    </row>
    <row r="76" s="79" customFormat="1" ht="18" customHeight="1" spans="1:10">
      <c r="A76" s="103">
        <v>8</v>
      </c>
      <c r="B76" s="140" t="s">
        <v>94</v>
      </c>
      <c r="C76" s="120"/>
      <c r="D76" s="117"/>
      <c r="E76" s="117"/>
      <c r="F76" s="117"/>
      <c r="G76" s="117"/>
      <c r="H76" s="117"/>
      <c r="I76" s="132">
        <f ca="1">+SUBTOTAL(9,I77:I98)</f>
        <v>113770.4</v>
      </c>
      <c r="J76" s="136" t="s">
        <v>64</v>
      </c>
    </row>
    <row r="77" s="78" customFormat="1" ht="18" customHeight="1" spans="1:10">
      <c r="A77" s="106">
        <v>8.1</v>
      </c>
      <c r="B77" s="124" t="s">
        <v>95</v>
      </c>
      <c r="C77" s="106" t="s">
        <v>96</v>
      </c>
      <c r="D77" s="111">
        <v>10</v>
      </c>
      <c r="E77" s="109"/>
      <c r="F77" s="110">
        <v>2250</v>
      </c>
      <c r="G77" s="109">
        <f t="shared" ref="G77:G97" si="6">+IF(ISNUMBER(D77),D77*E77,0)</f>
        <v>0</v>
      </c>
      <c r="H77" s="110">
        <f t="shared" ref="H77:H97" si="7">+IF(ISNUMBER(D77),D77*F77,0)</f>
        <v>22500</v>
      </c>
      <c r="I77" s="131">
        <f>+IF(ISNUMBER(D77),G77+H77,0)</f>
        <v>22500</v>
      </c>
      <c r="J77" s="106" t="s">
        <v>97</v>
      </c>
    </row>
    <row r="78" s="78" customFormat="1" ht="18" customHeight="1" spans="1:10">
      <c r="A78" s="106">
        <v>8.2</v>
      </c>
      <c r="B78" s="107" t="s">
        <v>98</v>
      </c>
      <c r="C78" s="106" t="s">
        <v>96</v>
      </c>
      <c r="D78" s="111"/>
      <c r="E78" s="109"/>
      <c r="F78" s="110">
        <v>2250</v>
      </c>
      <c r="G78" s="109">
        <f t="shared" si="6"/>
        <v>0</v>
      </c>
      <c r="H78" s="110">
        <f t="shared" si="7"/>
        <v>0</v>
      </c>
      <c r="I78" s="131">
        <f>+IF(ISNUMBER(D78),G78+H78,0)</f>
        <v>0</v>
      </c>
      <c r="J78" s="106" t="s">
        <v>97</v>
      </c>
    </row>
    <row r="79" s="78" customFormat="1" ht="18" customHeight="1" spans="1:10">
      <c r="A79" s="106">
        <v>8.3</v>
      </c>
      <c r="B79" s="107" t="s">
        <v>99</v>
      </c>
      <c r="C79" s="106" t="s">
        <v>96</v>
      </c>
      <c r="D79" s="111">
        <v>30</v>
      </c>
      <c r="E79" s="109"/>
      <c r="F79" s="110">
        <v>2250</v>
      </c>
      <c r="G79" s="109">
        <f t="shared" si="6"/>
        <v>0</v>
      </c>
      <c r="H79" s="110">
        <f t="shared" si="7"/>
        <v>67500</v>
      </c>
      <c r="I79" s="131">
        <f t="shared" ref="I79:I97" si="8">+IF(ISNUMBER(D79),G79+H79,0)</f>
        <v>67500</v>
      </c>
      <c r="J79" s="106" t="s">
        <v>97</v>
      </c>
    </row>
    <row r="80" s="78" customFormat="1" ht="18" customHeight="1" spans="1:10">
      <c r="A80" s="106">
        <v>8.4</v>
      </c>
      <c r="B80" s="107" t="s">
        <v>100</v>
      </c>
      <c r="C80" s="106" t="s">
        <v>96</v>
      </c>
      <c r="D80" s="111"/>
      <c r="E80" s="109"/>
      <c r="F80" s="110">
        <v>2250</v>
      </c>
      <c r="G80" s="109">
        <f t="shared" si="6"/>
        <v>0</v>
      </c>
      <c r="H80" s="110">
        <f t="shared" si="7"/>
        <v>0</v>
      </c>
      <c r="I80" s="131">
        <f t="shared" si="8"/>
        <v>0</v>
      </c>
      <c r="J80" s="106" t="s">
        <v>97</v>
      </c>
    </row>
    <row r="81" s="78" customFormat="1" ht="18" customHeight="1" spans="1:10">
      <c r="A81" s="106">
        <v>8.5</v>
      </c>
      <c r="B81" s="124" t="s">
        <v>101</v>
      </c>
      <c r="C81" s="106" t="s">
        <v>102</v>
      </c>
      <c r="D81" s="141">
        <f ca="1">F81/2250</f>
        <v>0.564622222222222</v>
      </c>
      <c r="E81" s="109"/>
      <c r="F81" s="110">
        <f ca="1">SUBTOTAL(9,H22:H37)</f>
        <v>1270.4</v>
      </c>
      <c r="G81" s="109">
        <f ca="1" t="shared" si="6"/>
        <v>0</v>
      </c>
      <c r="H81" s="110">
        <f ca="1">F81</f>
        <v>1270.4</v>
      </c>
      <c r="I81" s="131">
        <f ca="1" t="shared" si="8"/>
        <v>1270.4</v>
      </c>
      <c r="J81" s="106" t="s">
        <v>102</v>
      </c>
    </row>
    <row r="82" s="78" customFormat="1" ht="18" customHeight="1" spans="1:10">
      <c r="A82" s="106">
        <v>8.6</v>
      </c>
      <c r="B82" s="107" t="s">
        <v>103</v>
      </c>
      <c r="C82" s="106" t="s">
        <v>96</v>
      </c>
      <c r="D82" s="111"/>
      <c r="E82" s="109"/>
      <c r="F82" s="110">
        <v>1200</v>
      </c>
      <c r="G82" s="109">
        <f t="shared" si="6"/>
        <v>0</v>
      </c>
      <c r="H82" s="110">
        <f t="shared" si="7"/>
        <v>0</v>
      </c>
      <c r="I82" s="131">
        <f t="shared" si="8"/>
        <v>0</v>
      </c>
      <c r="J82" s="135" t="s">
        <v>104</v>
      </c>
    </row>
    <row r="83" s="78" customFormat="1" ht="18" customHeight="1" spans="1:10">
      <c r="A83" s="106">
        <v>8.7</v>
      </c>
      <c r="B83" s="107" t="s">
        <v>105</v>
      </c>
      <c r="C83" s="106" t="s">
        <v>96</v>
      </c>
      <c r="D83" s="111"/>
      <c r="E83" s="109"/>
      <c r="F83" s="110">
        <v>2200</v>
      </c>
      <c r="G83" s="109"/>
      <c r="H83" s="110">
        <f t="shared" si="7"/>
        <v>0</v>
      </c>
      <c r="I83" s="131">
        <f t="shared" si="8"/>
        <v>0</v>
      </c>
      <c r="J83" s="135" t="s">
        <v>106</v>
      </c>
    </row>
    <row r="84" s="78" customFormat="1" ht="18" customHeight="1" spans="1:10">
      <c r="A84" s="106">
        <v>8.8</v>
      </c>
      <c r="B84" s="107" t="s">
        <v>107</v>
      </c>
      <c r="C84" s="106" t="s">
        <v>96</v>
      </c>
      <c r="D84" s="111"/>
      <c r="E84" s="109"/>
      <c r="F84" s="110">
        <v>3200</v>
      </c>
      <c r="G84" s="109"/>
      <c r="H84" s="110">
        <f t="shared" si="7"/>
        <v>0</v>
      </c>
      <c r="I84" s="131">
        <f t="shared" si="8"/>
        <v>0</v>
      </c>
      <c r="J84" s="135" t="s">
        <v>106</v>
      </c>
    </row>
    <row r="85" s="78" customFormat="1" ht="18" customHeight="1" spans="1:10">
      <c r="A85" s="106">
        <v>8.9</v>
      </c>
      <c r="B85" s="107" t="s">
        <v>108</v>
      </c>
      <c r="C85" s="106" t="s">
        <v>96</v>
      </c>
      <c r="D85" s="111"/>
      <c r="E85" s="109"/>
      <c r="F85" s="110">
        <v>3900</v>
      </c>
      <c r="G85" s="109"/>
      <c r="H85" s="110">
        <f t="shared" si="7"/>
        <v>0</v>
      </c>
      <c r="I85" s="131">
        <f t="shared" si="8"/>
        <v>0</v>
      </c>
      <c r="J85" s="135" t="s">
        <v>106</v>
      </c>
    </row>
    <row r="86" s="78" customFormat="1" ht="18" customHeight="1" spans="1:10">
      <c r="A86" s="106">
        <v>8.1</v>
      </c>
      <c r="B86" s="107" t="s">
        <v>109</v>
      </c>
      <c r="C86" s="106" t="s">
        <v>96</v>
      </c>
      <c r="D86" s="111"/>
      <c r="E86" s="109"/>
      <c r="F86" s="110">
        <v>4500</v>
      </c>
      <c r="G86" s="109"/>
      <c r="H86" s="110">
        <f t="shared" si="7"/>
        <v>0</v>
      </c>
      <c r="I86" s="131">
        <f t="shared" si="8"/>
        <v>0</v>
      </c>
      <c r="J86" s="135" t="s">
        <v>106</v>
      </c>
    </row>
    <row r="87" s="78" customFormat="1" ht="18" customHeight="1" spans="1:10">
      <c r="A87" s="106">
        <v>8.11</v>
      </c>
      <c r="B87" s="107" t="s">
        <v>110</v>
      </c>
      <c r="C87" s="106" t="s">
        <v>96</v>
      </c>
      <c r="D87" s="111"/>
      <c r="E87" s="109"/>
      <c r="F87" s="110">
        <v>5500</v>
      </c>
      <c r="G87" s="109"/>
      <c r="H87" s="110">
        <f t="shared" si="7"/>
        <v>0</v>
      </c>
      <c r="I87" s="131">
        <f t="shared" si="8"/>
        <v>0</v>
      </c>
      <c r="J87" s="135" t="s">
        <v>106</v>
      </c>
    </row>
    <row r="88" s="78" customFormat="1" ht="18" customHeight="1" spans="1:10">
      <c r="A88" s="106">
        <v>8.12</v>
      </c>
      <c r="B88" s="107" t="s">
        <v>111</v>
      </c>
      <c r="C88" s="106" t="s">
        <v>96</v>
      </c>
      <c r="D88" s="111"/>
      <c r="E88" s="109"/>
      <c r="F88" s="110">
        <v>10200</v>
      </c>
      <c r="G88" s="109"/>
      <c r="H88" s="110">
        <f t="shared" si="7"/>
        <v>0</v>
      </c>
      <c r="I88" s="131">
        <f t="shared" si="8"/>
        <v>0</v>
      </c>
      <c r="J88" s="135" t="s">
        <v>106</v>
      </c>
    </row>
    <row r="89" s="78" customFormat="1" ht="18" customHeight="1" spans="1:10">
      <c r="A89" s="106">
        <v>8.13</v>
      </c>
      <c r="B89" s="107" t="s">
        <v>112</v>
      </c>
      <c r="C89" s="106" t="s">
        <v>96</v>
      </c>
      <c r="D89" s="111"/>
      <c r="E89" s="109"/>
      <c r="F89" s="110">
        <v>16000</v>
      </c>
      <c r="G89" s="109"/>
      <c r="H89" s="110">
        <f t="shared" si="7"/>
        <v>0</v>
      </c>
      <c r="I89" s="131">
        <f t="shared" si="8"/>
        <v>0</v>
      </c>
      <c r="J89" s="135" t="s">
        <v>106</v>
      </c>
    </row>
    <row r="90" s="78" customFormat="1" ht="18" customHeight="1" spans="1:10">
      <c r="A90" s="106">
        <v>8.14</v>
      </c>
      <c r="B90" s="107" t="s">
        <v>113</v>
      </c>
      <c r="C90" s="106" t="s">
        <v>96</v>
      </c>
      <c r="D90" s="111"/>
      <c r="E90" s="109"/>
      <c r="F90" s="110">
        <v>80</v>
      </c>
      <c r="G90" s="109">
        <f t="shared" si="6"/>
        <v>0</v>
      </c>
      <c r="H90" s="110">
        <f t="shared" si="7"/>
        <v>0</v>
      </c>
      <c r="I90" s="131">
        <f t="shared" si="8"/>
        <v>0</v>
      </c>
      <c r="J90" s="135" t="s">
        <v>114</v>
      </c>
    </row>
    <row r="91" s="78" customFormat="1" ht="18" customHeight="1" spans="1:10">
      <c r="A91" s="106">
        <v>8.15</v>
      </c>
      <c r="B91" s="107" t="s">
        <v>115</v>
      </c>
      <c r="C91" s="106" t="s">
        <v>96</v>
      </c>
      <c r="D91" s="111"/>
      <c r="E91" s="109"/>
      <c r="F91" s="110">
        <v>150</v>
      </c>
      <c r="G91" s="109">
        <f t="shared" si="6"/>
        <v>0</v>
      </c>
      <c r="H91" s="110">
        <f t="shared" si="7"/>
        <v>0</v>
      </c>
      <c r="I91" s="131">
        <f t="shared" si="8"/>
        <v>0</v>
      </c>
      <c r="J91" s="135" t="s">
        <v>114</v>
      </c>
    </row>
    <row r="92" s="78" customFormat="1" ht="18" customHeight="1" spans="1:10">
      <c r="A92" s="106">
        <v>8.16</v>
      </c>
      <c r="B92" s="107" t="s">
        <v>116</v>
      </c>
      <c r="C92" s="106" t="s">
        <v>96</v>
      </c>
      <c r="D92" s="111"/>
      <c r="E92" s="109"/>
      <c r="F92" s="110">
        <v>200</v>
      </c>
      <c r="G92" s="109"/>
      <c r="H92" s="110">
        <f t="shared" si="7"/>
        <v>0</v>
      </c>
      <c r="I92" s="131">
        <f t="shared" si="8"/>
        <v>0</v>
      </c>
      <c r="J92" s="135" t="s">
        <v>114</v>
      </c>
    </row>
    <row r="93" s="78" customFormat="1" ht="18" customHeight="1" spans="1:10">
      <c r="A93" s="106">
        <v>8.17</v>
      </c>
      <c r="B93" s="107" t="s">
        <v>117</v>
      </c>
      <c r="C93" s="106" t="s">
        <v>96</v>
      </c>
      <c r="D93" s="111"/>
      <c r="E93" s="109"/>
      <c r="F93" s="110">
        <v>350</v>
      </c>
      <c r="G93" s="109"/>
      <c r="H93" s="110">
        <f t="shared" si="7"/>
        <v>0</v>
      </c>
      <c r="I93" s="131">
        <f t="shared" si="8"/>
        <v>0</v>
      </c>
      <c r="J93" s="135" t="s">
        <v>114</v>
      </c>
    </row>
    <row r="94" s="78" customFormat="1" ht="18" customHeight="1" spans="1:10">
      <c r="A94" s="106">
        <v>8.18</v>
      </c>
      <c r="B94" s="107" t="s">
        <v>118</v>
      </c>
      <c r="C94" s="106" t="s">
        <v>96</v>
      </c>
      <c r="D94" s="111"/>
      <c r="E94" s="109"/>
      <c r="F94" s="110">
        <v>800</v>
      </c>
      <c r="G94" s="109"/>
      <c r="H94" s="110"/>
      <c r="I94" s="131">
        <f t="shared" si="8"/>
        <v>0</v>
      </c>
      <c r="J94" s="135" t="s">
        <v>114</v>
      </c>
    </row>
    <row r="95" s="78" customFormat="1" ht="18" customHeight="1" spans="1:10">
      <c r="A95" s="106">
        <v>8.19</v>
      </c>
      <c r="B95" s="124" t="s">
        <v>119</v>
      </c>
      <c r="C95" s="106" t="s">
        <v>96</v>
      </c>
      <c r="D95" s="111">
        <v>10</v>
      </c>
      <c r="E95" s="109"/>
      <c r="F95" s="110">
        <v>2250</v>
      </c>
      <c r="G95" s="109">
        <f t="shared" si="6"/>
        <v>0</v>
      </c>
      <c r="H95" s="110">
        <f t="shared" si="7"/>
        <v>22500</v>
      </c>
      <c r="I95" s="131">
        <f t="shared" si="8"/>
        <v>22500</v>
      </c>
      <c r="J95" s="135"/>
    </row>
    <row r="96" s="78" customFormat="1" ht="18" customHeight="1" spans="1:10">
      <c r="A96" s="122">
        <v>8.2</v>
      </c>
      <c r="B96" s="124" t="s">
        <v>120</v>
      </c>
      <c r="C96" s="106" t="s">
        <v>96</v>
      </c>
      <c r="D96" s="111"/>
      <c r="E96" s="109"/>
      <c r="F96" s="110">
        <v>750</v>
      </c>
      <c r="G96" s="109">
        <f t="shared" si="6"/>
        <v>0</v>
      </c>
      <c r="H96" s="110">
        <f t="shared" si="7"/>
        <v>0</v>
      </c>
      <c r="I96" s="131">
        <f t="shared" si="8"/>
        <v>0</v>
      </c>
      <c r="J96" s="135" t="s">
        <v>121</v>
      </c>
    </row>
    <row r="97" s="78" customFormat="1" ht="18" customHeight="1" spans="1:10">
      <c r="A97" s="106">
        <v>8.21</v>
      </c>
      <c r="B97" s="124" t="s">
        <v>122</v>
      </c>
      <c r="C97" s="106" t="s">
        <v>75</v>
      </c>
      <c r="D97" s="111"/>
      <c r="E97" s="109"/>
      <c r="F97" s="110">
        <v>450</v>
      </c>
      <c r="G97" s="109">
        <f t="shared" si="6"/>
        <v>0</v>
      </c>
      <c r="H97" s="110">
        <f t="shared" si="7"/>
        <v>0</v>
      </c>
      <c r="I97" s="131">
        <f t="shared" si="8"/>
        <v>0</v>
      </c>
      <c r="J97" s="135"/>
    </row>
    <row r="98" s="78" customFormat="1" ht="18" customHeight="1" spans="1:10">
      <c r="A98" s="135"/>
      <c r="B98" s="138"/>
      <c r="C98" s="135"/>
      <c r="D98" s="118"/>
      <c r="E98" s="118"/>
      <c r="F98" s="110"/>
      <c r="G98" s="126"/>
      <c r="H98" s="127"/>
      <c r="I98" s="131"/>
      <c r="J98" s="135"/>
    </row>
    <row r="99" s="80" customFormat="1" ht="18" customHeight="1" spans="1:10">
      <c r="A99" s="142">
        <v>9</v>
      </c>
      <c r="B99" s="143" t="s">
        <v>123</v>
      </c>
      <c r="C99" s="144"/>
      <c r="D99" s="145"/>
      <c r="E99" s="145"/>
      <c r="F99" s="145"/>
      <c r="G99" s="145"/>
      <c r="H99" s="145"/>
      <c r="I99" s="155">
        <f ca="1">+SUBTOTAL(9,I8:I98)</f>
        <v>398756.5330516</v>
      </c>
      <c r="J99" s="144"/>
    </row>
    <row r="100" s="78" customFormat="1" ht="18" customHeight="1" spans="1:10">
      <c r="A100" s="135">
        <v>9.1</v>
      </c>
      <c r="B100" s="138" t="s">
        <v>124</v>
      </c>
      <c r="C100" s="135" t="s">
        <v>125</v>
      </c>
      <c r="D100" s="125">
        <v>7</v>
      </c>
      <c r="E100" s="125"/>
      <c r="F100" s="125"/>
      <c r="G100" s="125"/>
      <c r="H100" s="125"/>
      <c r="I100" s="131">
        <f ca="1">+D100*I99/100</f>
        <v>27912.957313612</v>
      </c>
      <c r="J100" s="135"/>
    </row>
    <row r="101" s="78" customFormat="1" ht="18" customHeight="1" spans="1:10">
      <c r="A101" s="135">
        <v>9.2</v>
      </c>
      <c r="B101" s="138" t="s">
        <v>126</v>
      </c>
      <c r="C101" s="135" t="s">
        <v>125</v>
      </c>
      <c r="D101" s="125">
        <v>0</v>
      </c>
      <c r="E101" s="125"/>
      <c r="F101" s="125"/>
      <c r="G101" s="125"/>
      <c r="H101" s="125"/>
      <c r="I101" s="131">
        <f ca="1">+D101*I99/100</f>
        <v>0</v>
      </c>
      <c r="J101" s="135"/>
    </row>
    <row r="102" s="81" customFormat="1" ht="18" customHeight="1" spans="1:10">
      <c r="A102" s="146"/>
      <c r="B102" s="147" t="s">
        <v>127</v>
      </c>
      <c r="C102" s="146"/>
      <c r="D102" s="148"/>
      <c r="E102" s="148"/>
      <c r="F102" s="148"/>
      <c r="G102" s="148"/>
      <c r="H102" s="148"/>
      <c r="I102" s="156">
        <f ca="1">+SUM(I99:I101)</f>
        <v>426669.490365212</v>
      </c>
      <c r="J102" s="146"/>
    </row>
    <row r="103" s="78" customFormat="1" ht="18" customHeight="1" spans="1:10">
      <c r="A103" s="135"/>
      <c r="B103" s="138" t="s">
        <v>128</v>
      </c>
      <c r="C103" s="135" t="s">
        <v>125</v>
      </c>
      <c r="D103" s="111">
        <v>33</v>
      </c>
      <c r="E103" s="125"/>
      <c r="F103" s="125"/>
      <c r="G103" s="125"/>
      <c r="H103" s="125"/>
      <c r="I103" s="131">
        <f ca="1">+D103*I102/100</f>
        <v>140800.93182052</v>
      </c>
      <c r="J103" s="135"/>
    </row>
    <row r="104" s="82" customFormat="1" ht="18" customHeight="1" spans="1:10">
      <c r="A104" s="142"/>
      <c r="B104" s="143" t="s">
        <v>129</v>
      </c>
      <c r="C104" s="142"/>
      <c r="D104" s="149"/>
      <c r="E104" s="149"/>
      <c r="F104" s="149"/>
      <c r="G104" s="149"/>
      <c r="H104" s="149"/>
      <c r="I104" s="155">
        <f ca="1">+SUM(I102:I103)</f>
        <v>567470.422185732</v>
      </c>
      <c r="J104" s="142"/>
    </row>
    <row r="105" s="78" customFormat="1" ht="18" customHeight="1" spans="1:10">
      <c r="A105" s="135"/>
      <c r="B105" s="138"/>
      <c r="C105" s="135"/>
      <c r="D105" s="125"/>
      <c r="E105" s="125"/>
      <c r="F105" s="125"/>
      <c r="G105" s="125"/>
      <c r="H105" s="125"/>
      <c r="I105" s="131"/>
      <c r="J105" s="135"/>
    </row>
    <row r="106" s="78" customFormat="1" spans="1:10">
      <c r="A106" s="135"/>
      <c r="B106" s="138" t="s">
        <v>130</v>
      </c>
      <c r="C106" s="135"/>
      <c r="D106" s="150"/>
      <c r="E106" s="125"/>
      <c r="F106" s="125"/>
      <c r="G106" s="125"/>
      <c r="H106" s="125"/>
      <c r="I106" s="157">
        <f ca="1">+I104/D12</f>
        <v>7237.54184071686</v>
      </c>
      <c r="J106" s="135"/>
    </row>
    <row r="107" s="78" customFormat="1" ht="18" customHeight="1" spans="1:10">
      <c r="A107" s="151"/>
      <c r="B107" s="152" t="s">
        <v>131</v>
      </c>
      <c r="C107" s="151"/>
      <c r="D107" s="153"/>
      <c r="E107" s="153"/>
      <c r="F107" s="153"/>
      <c r="G107" s="153"/>
      <c r="H107" s="153"/>
      <c r="I107" s="158">
        <f ca="1">+I103/I104</f>
        <v>0.24812030075188</v>
      </c>
      <c r="J107" s="151"/>
    </row>
    <row r="108" s="78" customFormat="1" ht="18" customHeight="1" spans="4:9">
      <c r="D108" s="154"/>
      <c r="E108" s="154"/>
      <c r="F108" s="154"/>
      <c r="G108" s="154"/>
      <c r="H108" s="154"/>
      <c r="I108" s="159"/>
    </row>
    <row r="109" s="78" customFormat="1" ht="18" customHeight="1" spans="4:9">
      <c r="D109" s="154"/>
      <c r="E109" s="154"/>
      <c r="F109" s="154"/>
      <c r="G109" s="154"/>
      <c r="H109" s="154"/>
      <c r="I109" s="159"/>
    </row>
    <row r="110" s="78" customFormat="1" ht="18" customHeight="1" spans="4:9">
      <c r="D110" s="154"/>
      <c r="E110" s="154"/>
      <c r="F110" s="154"/>
      <c r="G110" s="154"/>
      <c r="H110" s="154"/>
      <c r="I110" s="159"/>
    </row>
    <row r="111" s="78" customFormat="1" ht="18" customHeight="1" spans="4:9">
      <c r="D111" s="154"/>
      <c r="E111" s="154"/>
      <c r="F111" s="154"/>
      <c r="G111" s="154"/>
      <c r="H111" s="154"/>
      <c r="I111" s="159"/>
    </row>
    <row r="112" s="78" customFormat="1" ht="18" customHeight="1" spans="4:9">
      <c r="D112" s="154"/>
      <c r="E112" s="154"/>
      <c r="F112" s="154"/>
      <c r="G112" s="154"/>
      <c r="H112" s="154"/>
      <c r="I112" s="159"/>
    </row>
    <row r="113" s="78" customFormat="1" ht="18" customHeight="1" spans="4:9">
      <c r="D113" s="154"/>
      <c r="E113" s="154"/>
      <c r="F113" s="154"/>
      <c r="G113" s="154"/>
      <c r="H113" s="154"/>
      <c r="I113" s="159"/>
    </row>
    <row r="114" s="78" customFormat="1" ht="18" customHeight="1" spans="4:9">
      <c r="D114" s="154"/>
      <c r="E114" s="154"/>
      <c r="F114" s="154"/>
      <c r="G114" s="154"/>
      <c r="H114" s="154"/>
      <c r="I114" s="159"/>
    </row>
    <row r="115" s="78" customFormat="1" ht="18" customHeight="1" spans="4:9">
      <c r="D115" s="154"/>
      <c r="E115" s="154"/>
      <c r="F115" s="154"/>
      <c r="G115" s="154"/>
      <c r="H115" s="154"/>
      <c r="I115" s="159"/>
    </row>
    <row r="116" s="78" customFormat="1" ht="18" customHeight="1" spans="4:9">
      <c r="D116" s="154"/>
      <c r="E116" s="154"/>
      <c r="F116" s="154"/>
      <c r="G116" s="154"/>
      <c r="H116" s="154"/>
      <c r="I116" s="159"/>
    </row>
    <row r="117" s="78" customFormat="1" ht="18" customHeight="1" spans="4:9">
      <c r="D117" s="154"/>
      <c r="E117" s="154"/>
      <c r="F117" s="154"/>
      <c r="G117" s="154"/>
      <c r="H117" s="154"/>
      <c r="I117" s="159"/>
    </row>
    <row r="118" s="78" customFormat="1" ht="18" customHeight="1" spans="4:9">
      <c r="D118" s="154"/>
      <c r="E118" s="154"/>
      <c r="F118" s="154"/>
      <c r="G118" s="154"/>
      <c r="H118" s="154"/>
      <c r="I118" s="159"/>
    </row>
    <row r="119" s="78" customFormat="1" ht="18" customHeight="1" spans="4:9">
      <c r="D119" s="154"/>
      <c r="E119" s="154"/>
      <c r="F119" s="154"/>
      <c r="G119" s="154"/>
      <c r="H119" s="154"/>
      <c r="I119" s="159"/>
    </row>
    <row r="120" s="78" customFormat="1" ht="18" customHeight="1" spans="4:9">
      <c r="D120" s="154"/>
      <c r="E120" s="154"/>
      <c r="F120" s="154"/>
      <c r="G120" s="154"/>
      <c r="H120" s="154"/>
      <c r="I120" s="159"/>
    </row>
    <row r="121" s="78" customFormat="1" ht="18" customHeight="1" spans="4:9">
      <c r="D121" s="154"/>
      <c r="E121" s="154"/>
      <c r="F121" s="154"/>
      <c r="G121" s="154"/>
      <c r="H121" s="154"/>
      <c r="I121" s="159"/>
    </row>
    <row r="122" s="78" customFormat="1" ht="18" customHeight="1" spans="4:9">
      <c r="D122" s="154"/>
      <c r="E122" s="154"/>
      <c r="F122" s="154"/>
      <c r="G122" s="154"/>
      <c r="H122" s="154"/>
      <c r="I122" s="159"/>
    </row>
    <row r="123" s="78" customFormat="1" spans="4:9">
      <c r="D123" s="154"/>
      <c r="E123" s="154"/>
      <c r="F123" s="154"/>
      <c r="G123" s="154"/>
      <c r="H123" s="154"/>
      <c r="I123" s="159"/>
    </row>
    <row r="124" s="78" customFormat="1" spans="4:9">
      <c r="D124" s="154"/>
      <c r="E124" s="154"/>
      <c r="F124" s="154"/>
      <c r="G124" s="154"/>
      <c r="H124" s="154"/>
      <c r="I124" s="159"/>
    </row>
    <row r="125" s="78" customFormat="1" spans="4:9">
      <c r="D125" s="154"/>
      <c r="E125" s="154"/>
      <c r="F125" s="154"/>
      <c r="G125" s="154"/>
      <c r="H125" s="154"/>
      <c r="I125" s="159"/>
    </row>
    <row r="126" s="78" customFormat="1" spans="4:9">
      <c r="D126" s="154"/>
      <c r="E126" s="154"/>
      <c r="F126" s="154"/>
      <c r="G126" s="154"/>
      <c r="H126" s="154"/>
      <c r="I126" s="159"/>
    </row>
    <row r="127" s="78" customFormat="1" spans="4:9">
      <c r="D127" s="154"/>
      <c r="E127" s="154"/>
      <c r="F127" s="154"/>
      <c r="G127" s="154"/>
      <c r="H127" s="154"/>
      <c r="I127" s="159"/>
    </row>
    <row r="128" s="78" customFormat="1" spans="4:9">
      <c r="D128" s="154"/>
      <c r="E128" s="154"/>
      <c r="F128" s="154"/>
      <c r="G128" s="154"/>
      <c r="H128" s="154"/>
      <c r="I128" s="159"/>
    </row>
    <row r="129" s="78" customFormat="1" spans="4:9">
      <c r="D129" s="154"/>
      <c r="E129" s="154"/>
      <c r="F129" s="154"/>
      <c r="G129" s="154"/>
      <c r="H129" s="154"/>
      <c r="I129" s="159"/>
    </row>
    <row r="130" s="78" customFormat="1" spans="4:9">
      <c r="D130" s="154"/>
      <c r="E130" s="154"/>
      <c r="F130" s="154"/>
      <c r="G130" s="154"/>
      <c r="H130" s="154"/>
      <c r="I130" s="159"/>
    </row>
    <row r="131" s="78" customFormat="1" spans="4:9">
      <c r="D131" s="154"/>
      <c r="E131" s="154"/>
      <c r="F131" s="154"/>
      <c r="G131" s="154"/>
      <c r="H131" s="154"/>
      <c r="I131" s="159"/>
    </row>
    <row r="132" s="78" customFormat="1" spans="4:9">
      <c r="D132" s="154"/>
      <c r="E132" s="154"/>
      <c r="F132" s="154"/>
      <c r="G132" s="154"/>
      <c r="H132" s="154"/>
      <c r="I132" s="159"/>
    </row>
    <row r="133" s="78" customFormat="1" spans="4:9">
      <c r="D133" s="154"/>
      <c r="E133" s="154"/>
      <c r="F133" s="154"/>
      <c r="G133" s="154"/>
      <c r="H133" s="154"/>
      <c r="I133" s="159"/>
    </row>
    <row r="134" s="78" customFormat="1" spans="4:9">
      <c r="D134" s="154"/>
      <c r="E134" s="154"/>
      <c r="F134" s="154"/>
      <c r="G134" s="154"/>
      <c r="H134" s="154"/>
      <c r="I134" s="159"/>
    </row>
  </sheetData>
  <mergeCells count="14">
    <mergeCell ref="B1:D1"/>
    <mergeCell ref="F1:I1"/>
    <mergeCell ref="B2:D2"/>
    <mergeCell ref="F2:I2"/>
    <mergeCell ref="B3:D3"/>
    <mergeCell ref="F3:I3"/>
    <mergeCell ref="A4:J4"/>
    <mergeCell ref="E6:F6"/>
    <mergeCell ref="G6:I6"/>
    <mergeCell ref="A6:A7"/>
    <mergeCell ref="B6:B7"/>
    <mergeCell ref="C6:C7"/>
    <mergeCell ref="D6:D7"/>
    <mergeCell ref="J6:J7"/>
  </mergeCells>
  <pageMargins left="0.699305555555556" right="0.699305555555556" top="0.75" bottom="0.75" header="0.3" footer="0.3"/>
  <pageSetup paperSize="9" scale="59" fitToHeight="0" orientation="portrait" horizontalDpi="1200" verticalDpi="1200"/>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1"/>
  <sheetViews>
    <sheetView workbookViewId="0">
      <selection activeCell="B66" sqref="B66"/>
    </sheetView>
  </sheetViews>
  <sheetFormatPr defaultColWidth="8.75" defaultRowHeight="15" outlineLevelCol="2"/>
  <cols>
    <col min="1" max="1" width="17.5" style="66"/>
    <col min="2" max="2" width="16.5" style="67"/>
    <col min="3" max="3" width="23.6" style="67"/>
    <col min="4" max="4" width="13.75" style="66" customWidth="1"/>
    <col min="5" max="16384" width="8.75" style="66"/>
  </cols>
  <sheetData>
    <row r="1" spans="2:2">
      <c r="B1" s="66"/>
    </row>
    <row r="2" spans="1:1">
      <c r="A2" s="68" t="s">
        <v>132</v>
      </c>
    </row>
    <row r="3" spans="1:3">
      <c r="A3" s="69" t="s">
        <v>133</v>
      </c>
      <c r="B3" s="69" t="s">
        <v>134</v>
      </c>
      <c r="C3" s="66"/>
    </row>
    <row r="4" spans="1:3">
      <c r="A4" s="70" t="s">
        <v>135</v>
      </c>
      <c r="B4" s="71"/>
      <c r="C4" s="66"/>
    </row>
    <row r="5" spans="1:3">
      <c r="A5" s="70" t="s">
        <v>136</v>
      </c>
      <c r="B5" s="71">
        <v>0</v>
      </c>
      <c r="C5" s="66"/>
    </row>
    <row r="6" spans="1:3">
      <c r="A6" s="70" t="s">
        <v>137</v>
      </c>
      <c r="B6" s="71">
        <v>42.261287</v>
      </c>
      <c r="C6" s="66"/>
    </row>
    <row r="7" spans="1:3">
      <c r="A7" s="70" t="s">
        <v>138</v>
      </c>
      <c r="B7" s="71">
        <v>21.093605</v>
      </c>
      <c r="C7" s="66"/>
    </row>
    <row r="8" spans="1:3">
      <c r="A8" s="70" t="s">
        <v>139</v>
      </c>
      <c r="B8" s="71">
        <v>0.72268</v>
      </c>
      <c r="C8" s="66"/>
    </row>
    <row r="9" spans="1:3">
      <c r="A9" s="70" t="s">
        <v>140</v>
      </c>
      <c r="B9" s="71"/>
      <c r="C9" s="66"/>
    </row>
    <row r="10" spans="1:3">
      <c r="A10" s="70" t="s">
        <v>141</v>
      </c>
      <c r="B10" s="71"/>
      <c r="C10" s="66"/>
    </row>
    <row r="11" spans="1:3">
      <c r="A11" s="70" t="s">
        <v>142</v>
      </c>
      <c r="B11" s="71">
        <v>0</v>
      </c>
      <c r="C11" s="66"/>
    </row>
    <row r="12" spans="1:3">
      <c r="A12" s="70" t="s">
        <v>143</v>
      </c>
      <c r="B12" s="71">
        <v>9.6116358</v>
      </c>
      <c r="C12" s="66"/>
    </row>
    <row r="13" spans="1:3">
      <c r="A13" s="72" t="s">
        <v>144</v>
      </c>
      <c r="B13" s="73">
        <v>73.6892078</v>
      </c>
      <c r="C13" s="66"/>
    </row>
    <row r="14" hidden="1" spans="2:3">
      <c r="B14" s="66"/>
      <c r="C14" s="66"/>
    </row>
    <row r="15" hidden="1" spans="2:3">
      <c r="B15" s="66"/>
      <c r="C15" s="66"/>
    </row>
    <row r="16" hidden="1" spans="2:3">
      <c r="B16" s="66"/>
      <c r="C16" s="66"/>
    </row>
    <row r="17" hidden="1" spans="2:3">
      <c r="B17" s="66"/>
      <c r="C17" s="66"/>
    </row>
    <row r="18" hidden="1" spans="2:3">
      <c r="B18" s="66"/>
      <c r="C18" s="66"/>
    </row>
    <row r="19" spans="1:3">
      <c r="A19" s="68" t="s">
        <v>145</v>
      </c>
      <c r="B19" s="66"/>
      <c r="C19" s="66"/>
    </row>
    <row r="20" spans="1:3">
      <c r="A20" s="74" t="s">
        <v>133</v>
      </c>
      <c r="B20" s="74" t="s">
        <v>146</v>
      </c>
      <c r="C20" s="74" t="s">
        <v>147</v>
      </c>
    </row>
    <row r="21" spans="1:3">
      <c r="A21" s="70" t="s">
        <v>148</v>
      </c>
      <c r="B21" s="75">
        <v>0</v>
      </c>
      <c r="C21" s="75">
        <v>0</v>
      </c>
    </row>
    <row r="22" spans="1:3">
      <c r="A22" s="70" t="s">
        <v>149</v>
      </c>
      <c r="B22" s="75">
        <v>2144.2410675</v>
      </c>
      <c r="C22" s="75">
        <v>73.6892078</v>
      </c>
    </row>
    <row r="23" spans="1:3">
      <c r="A23" s="70" t="s">
        <v>150</v>
      </c>
      <c r="B23" s="75"/>
      <c r="C23" s="75"/>
    </row>
    <row r="24" spans="1:3">
      <c r="A24" s="70" t="s">
        <v>142</v>
      </c>
      <c r="B24" s="75">
        <v>0</v>
      </c>
      <c r="C24" s="75">
        <v>0</v>
      </c>
    </row>
    <row r="25" spans="1:3">
      <c r="A25" s="70" t="s">
        <v>151</v>
      </c>
      <c r="B25" s="75"/>
      <c r="C25" s="75"/>
    </row>
    <row r="26" spans="1:3">
      <c r="A26" s="70" t="s">
        <v>152</v>
      </c>
      <c r="B26" s="75"/>
      <c r="C26" s="75"/>
    </row>
    <row r="27" spans="1:3">
      <c r="A27" s="70" t="s">
        <v>153</v>
      </c>
      <c r="B27" s="75"/>
      <c r="C27" s="75"/>
    </row>
    <row r="28" spans="1:3">
      <c r="A28" s="70" t="s">
        <v>154</v>
      </c>
      <c r="B28" s="75"/>
      <c r="C28" s="75"/>
    </row>
    <row r="29" spans="1:3">
      <c r="A29" s="70" t="s">
        <v>144</v>
      </c>
      <c r="B29" s="75">
        <v>2144.2410675</v>
      </c>
      <c r="C29" s="75">
        <v>73.6892078</v>
      </c>
    </row>
    <row r="30" ht="15.6" spans="1:3">
      <c r="A30"/>
      <c r="B30"/>
      <c r="C30"/>
    </row>
    <row r="31" ht="15.6" spans="1:3">
      <c r="A31"/>
      <c r="B31"/>
      <c r="C31"/>
    </row>
    <row r="32" ht="15.6" spans="1:3">
      <c r="A32"/>
      <c r="B32"/>
      <c r="C32"/>
    </row>
    <row r="33" s="66" customFormat="1"/>
    <row r="34" s="66" customFormat="1" hidden="1"/>
    <row r="35" s="66" customFormat="1" hidden="1"/>
    <row r="36" s="66" customFormat="1" hidden="1"/>
    <row r="37" s="66" customFormat="1" hidden="1"/>
    <row r="38" s="66" customFormat="1" hidden="1"/>
    <row r="39" s="66" customFormat="1" hidden="1"/>
    <row r="40" s="66" customFormat="1" hidden="1"/>
    <row r="41" s="66" customFormat="1" hidden="1"/>
    <row r="42" s="66" customFormat="1" hidden="1"/>
    <row r="43" s="66" customFormat="1" hidden="1"/>
    <row r="44" s="66" customFormat="1" hidden="1"/>
    <row r="45" s="66" customFormat="1" spans="1:1">
      <c r="A45" s="68" t="s">
        <v>155</v>
      </c>
    </row>
    <row r="46" s="66" customFormat="1" spans="1:2">
      <c r="A46" s="74" t="s">
        <v>133</v>
      </c>
      <c r="B46" s="74" t="s">
        <v>134</v>
      </c>
    </row>
    <row r="47" s="66" customFormat="1" spans="1:2">
      <c r="A47" s="70" t="s">
        <v>156</v>
      </c>
      <c r="B47" s="75"/>
    </row>
    <row r="48" s="66" customFormat="1" spans="1:2">
      <c r="A48" s="70" t="s">
        <v>157</v>
      </c>
      <c r="B48" s="75"/>
    </row>
    <row r="49" s="66" customFormat="1" spans="1:2">
      <c r="A49" s="70" t="s">
        <v>158</v>
      </c>
      <c r="B49" s="75">
        <v>73.6892078</v>
      </c>
    </row>
    <row r="50" s="66" customFormat="1" spans="1:2">
      <c r="A50" s="70" t="s">
        <v>142</v>
      </c>
      <c r="B50" s="75">
        <v>0</v>
      </c>
    </row>
    <row r="51" s="66" customFormat="1" spans="1:2">
      <c r="A51" s="70" t="s">
        <v>144</v>
      </c>
      <c r="B51" s="75">
        <v>73.6892078</v>
      </c>
    </row>
    <row r="52" s="66" customFormat="1"/>
    <row r="53" s="66" customFormat="1" hidden="1"/>
    <row r="54" s="66" customFormat="1" hidden="1"/>
    <row r="55" s="66" customFormat="1" hidden="1"/>
    <row r="56" s="66" customFormat="1" hidden="1"/>
    <row r="57" s="66" customFormat="1" hidden="1"/>
    <row r="58" s="66" customFormat="1" hidden="1"/>
    <row r="59" s="66" customFormat="1" hidden="1"/>
    <row r="60" s="66" customFormat="1" hidden="1"/>
    <row r="61" s="66" customFormat="1" hidden="1"/>
    <row r="62" s="66" customFormat="1" hidden="1"/>
    <row r="63" s="66" customFormat="1" hidden="1"/>
    <row r="64" s="66" customFormat="1" hidden="1"/>
    <row r="65" s="66" customFormat="1" hidden="1"/>
    <row r="66" s="66" customFormat="1" spans="1:1">
      <c r="A66" s="68" t="s">
        <v>159</v>
      </c>
    </row>
    <row r="67" s="66" customFormat="1" spans="1:2">
      <c r="A67" s="74" t="s">
        <v>133</v>
      </c>
      <c r="B67" s="74" t="s">
        <v>134</v>
      </c>
    </row>
    <row r="68" s="66" customFormat="1" spans="1:2">
      <c r="A68" s="70" t="s">
        <v>156</v>
      </c>
      <c r="B68" s="75"/>
    </row>
    <row r="69" s="66" customFormat="1" spans="1:2">
      <c r="A69" s="70" t="s">
        <v>157</v>
      </c>
      <c r="B69" s="75"/>
    </row>
    <row r="70" s="66" customFormat="1" spans="1:2">
      <c r="A70" s="70" t="s">
        <v>158</v>
      </c>
      <c r="B70" s="75">
        <v>64.077572</v>
      </c>
    </row>
    <row r="71" s="66" customFormat="1" spans="1:2">
      <c r="A71" s="70" t="s">
        <v>142</v>
      </c>
      <c r="B71" s="75">
        <v>9.6116358</v>
      </c>
    </row>
    <row r="72" s="66" customFormat="1" spans="1:2">
      <c r="A72" s="70" t="s">
        <v>144</v>
      </c>
      <c r="B72" s="75">
        <v>73.6892078</v>
      </c>
    </row>
    <row r="73" s="66" customFormat="1"/>
    <row r="74" s="66" customFormat="1" hidden="1"/>
    <row r="75" s="66" customFormat="1" hidden="1"/>
    <row r="76" s="66" customFormat="1" hidden="1"/>
    <row r="77" s="66" customFormat="1" hidden="1"/>
    <row r="78" s="66" customFormat="1" hidden="1"/>
    <row r="79" s="66" customFormat="1" hidden="1"/>
    <row r="80" s="66" customFormat="1" hidden="1"/>
    <row r="81" s="66" customFormat="1" hidden="1"/>
    <row r="82" s="66" customFormat="1" hidden="1"/>
    <row r="83" s="66" customFormat="1" hidden="1"/>
    <row r="84" s="66" customFormat="1" hidden="1"/>
    <row r="85" s="66" customFormat="1" spans="1:1">
      <c r="A85" s="68" t="s">
        <v>160</v>
      </c>
    </row>
    <row r="86" s="66" customFormat="1" spans="1:2">
      <c r="A86" s="74" t="s">
        <v>133</v>
      </c>
      <c r="B86" s="74" t="s">
        <v>134</v>
      </c>
    </row>
    <row r="87" s="66" customFormat="1" spans="1:2">
      <c r="A87" s="70" t="s">
        <v>161</v>
      </c>
      <c r="B87" s="75"/>
    </row>
    <row r="88" s="66" customFormat="1" spans="1:2">
      <c r="A88" s="70" t="s">
        <v>162</v>
      </c>
      <c r="B88" s="75"/>
    </row>
    <row r="89" s="66" customFormat="1" spans="1:2">
      <c r="A89" s="70" t="s">
        <v>163</v>
      </c>
      <c r="B89" s="75"/>
    </row>
    <row r="90" s="66" customFormat="1" spans="1:2">
      <c r="A90" s="70" t="s">
        <v>157</v>
      </c>
      <c r="B90" s="75"/>
    </row>
    <row r="91" s="66" customFormat="1" spans="1:2">
      <c r="A91" s="70" t="s">
        <v>158</v>
      </c>
      <c r="B91" s="75">
        <v>73.6892078</v>
      </c>
    </row>
    <row r="92" s="66" customFormat="1" spans="1:2">
      <c r="A92" s="70" t="s">
        <v>142</v>
      </c>
      <c r="B92" s="75">
        <v>0</v>
      </c>
    </row>
    <row r="93" s="66" customFormat="1" spans="1:2">
      <c r="A93" s="70" t="s">
        <v>144</v>
      </c>
      <c r="B93" s="75">
        <v>73.6892078</v>
      </c>
    </row>
    <row r="94" s="66" customFormat="1"/>
    <row r="95" s="66" customFormat="1"/>
    <row r="96" s="66" customFormat="1"/>
    <row r="97" s="66" customFormat="1"/>
    <row r="98" s="66" customFormat="1"/>
    <row r="99" s="66" customFormat="1"/>
    <row r="100" s="66" customFormat="1"/>
    <row r="101" s="66" customFormat="1"/>
    <row r="102" s="66" customFormat="1"/>
    <row r="103" s="66" customFormat="1"/>
    <row r="104" s="66" customFormat="1"/>
    <row r="105" s="66" customFormat="1"/>
    <row r="106" s="66" customFormat="1"/>
    <row r="107" s="66" customFormat="1"/>
    <row r="108" s="66" customFormat="1"/>
    <row r="109" s="66" customFormat="1" spans="1:1">
      <c r="A109" s="68" t="s">
        <v>159</v>
      </c>
    </row>
    <row r="110" s="66" customFormat="1" spans="1:2">
      <c r="A110" s="74" t="s">
        <v>133</v>
      </c>
      <c r="B110" s="74" t="s">
        <v>134</v>
      </c>
    </row>
    <row r="111" s="66" customFormat="1" spans="1:2">
      <c r="A111" s="70" t="s">
        <v>156</v>
      </c>
      <c r="B111" s="75"/>
    </row>
    <row r="112" s="66" customFormat="1" spans="1:2">
      <c r="A112" s="70" t="s">
        <v>157</v>
      </c>
      <c r="B112" s="75"/>
    </row>
    <row r="113" spans="1:3">
      <c r="A113" s="70" t="s">
        <v>158</v>
      </c>
      <c r="B113" s="75">
        <v>64.077572</v>
      </c>
      <c r="C113" s="66"/>
    </row>
    <row r="114" spans="1:3">
      <c r="A114" s="70" t="s">
        <v>142</v>
      </c>
      <c r="B114" s="75">
        <v>9.6116358</v>
      </c>
      <c r="C114" s="66"/>
    </row>
    <row r="115" spans="1:3">
      <c r="A115" s="70" t="s">
        <v>144</v>
      </c>
      <c r="B115" s="75">
        <v>73.6892078</v>
      </c>
      <c r="C115" s="66"/>
    </row>
    <row r="116" spans="2:3">
      <c r="B116" s="66"/>
      <c r="C116" s="66"/>
    </row>
    <row r="117" spans="2:3">
      <c r="B117" s="66"/>
      <c r="C117" s="66"/>
    </row>
    <row r="118" spans="2:3">
      <c r="B118" s="66"/>
      <c r="C118" s="66"/>
    </row>
    <row r="119" spans="2:2">
      <c r="B119" s="66"/>
    </row>
    <row r="120" spans="2:2">
      <c r="B120" s="66"/>
    </row>
    <row r="121" spans="2:2">
      <c r="B121" s="66"/>
    </row>
    <row r="122" spans="2:2">
      <c r="B122" s="66"/>
    </row>
    <row r="123" spans="2:2">
      <c r="B123" s="66"/>
    </row>
    <row r="124" spans="2:2">
      <c r="B124" s="66"/>
    </row>
    <row r="125" spans="2:2">
      <c r="B125" s="66"/>
    </row>
    <row r="126" spans="2:2">
      <c r="B126" s="66"/>
    </row>
    <row r="127" spans="2:2">
      <c r="B127" s="66"/>
    </row>
    <row r="128" spans="2:2">
      <c r="B128" s="66"/>
    </row>
    <row r="129" s="66" customFormat="1" spans="3:3">
      <c r="C129" s="67"/>
    </row>
    <row r="130" s="66" customFormat="1" spans="3:3">
      <c r="C130" s="67"/>
    </row>
    <row r="131" s="66" customFormat="1" spans="3:3">
      <c r="C131" s="67"/>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04"/>
  <sheetViews>
    <sheetView tabSelected="1" view="pageBreakPreview" zoomScaleNormal="100" zoomScaleSheetLayoutView="100" workbookViewId="0">
      <pane xSplit="13" ySplit="6" topLeftCell="O725" activePane="bottomRight" state="frozen"/>
      <selection/>
      <selection pane="topRight"/>
      <selection pane="bottomLeft"/>
      <selection pane="bottomRight" activeCell="A741" sqref="A741"/>
    </sheetView>
  </sheetViews>
  <sheetFormatPr defaultColWidth="8.75" defaultRowHeight="13.2"/>
  <cols>
    <col min="1" max="1" width="33.3" style="11" customWidth="1"/>
    <col min="2" max="2" width="8.75" style="12"/>
    <col min="3" max="3" width="15.875" style="12" customWidth="1"/>
    <col min="4" max="4" width="11.375" style="10" customWidth="1"/>
    <col min="5" max="5" width="16.25" style="13" customWidth="1"/>
    <col min="6" max="6" width="8.375" style="11" customWidth="1"/>
    <col min="7" max="7" width="7.25" style="11" customWidth="1"/>
    <col min="8" max="8" width="11.125" style="14" customWidth="1"/>
    <col min="9" max="9" width="10.75" style="15" customWidth="1"/>
    <col min="10" max="11" width="8.75" style="14"/>
    <col min="12" max="12" width="10.5" style="16" customWidth="1"/>
    <col min="13" max="13" width="10.25" style="17" customWidth="1"/>
    <col min="14" max="14" width="17.75" style="13" customWidth="1"/>
    <col min="15" max="15" width="17.875" style="13" customWidth="1"/>
    <col min="16" max="16" width="16.25" style="13" customWidth="1"/>
    <col min="17" max="16384" width="8.75" style="11"/>
  </cols>
  <sheetData>
    <row r="1" spans="1:16">
      <c r="A1" s="18" t="s">
        <v>164</v>
      </c>
      <c r="E1" s="19"/>
      <c r="F1" s="20"/>
      <c r="G1" s="20"/>
      <c r="H1" s="21"/>
      <c r="I1" s="21"/>
      <c r="N1" s="19"/>
      <c r="O1" s="19"/>
      <c r="P1" s="19"/>
    </row>
    <row r="2" spans="1:16">
      <c r="A2" s="18"/>
      <c r="E2" s="19"/>
      <c r="F2" s="20"/>
      <c r="G2" s="20"/>
      <c r="H2" s="21"/>
      <c r="I2" s="21"/>
      <c r="N2" s="19"/>
      <c r="O2" s="19"/>
      <c r="P2" s="19"/>
    </row>
    <row r="3" spans="1:16">
      <c r="A3" s="18"/>
      <c r="E3" s="19"/>
      <c r="F3" s="20"/>
      <c r="G3" s="20"/>
      <c r="H3" s="21"/>
      <c r="I3" s="21"/>
      <c r="N3" s="19"/>
      <c r="O3" s="19"/>
      <c r="P3" s="19"/>
    </row>
    <row r="4" spans="1:16">
      <c r="A4" s="18"/>
      <c r="E4" s="19"/>
      <c r="F4" s="20"/>
      <c r="G4" s="20"/>
      <c r="H4" s="21"/>
      <c r="I4" s="21"/>
      <c r="N4" s="19"/>
      <c r="O4" s="19"/>
      <c r="P4" s="19"/>
    </row>
    <row r="5" spans="5:16">
      <c r="E5" s="19"/>
      <c r="F5" s="20"/>
      <c r="G5" s="20"/>
      <c r="H5" s="21"/>
      <c r="I5" s="21"/>
      <c r="N5" s="19"/>
      <c r="O5" s="19"/>
      <c r="P5" s="19"/>
    </row>
    <row r="6" s="10" customFormat="1" ht="26.4" spans="1:16">
      <c r="A6" s="10" t="s">
        <v>165</v>
      </c>
      <c r="B6" s="22" t="s">
        <v>166</v>
      </c>
      <c r="C6" s="22" t="s">
        <v>167</v>
      </c>
      <c r="D6" s="23" t="s">
        <v>168</v>
      </c>
      <c r="E6" s="24" t="s">
        <v>169</v>
      </c>
      <c r="F6" s="25" t="s">
        <v>170</v>
      </c>
      <c r="G6" s="25" t="s">
        <v>171</v>
      </c>
      <c r="H6" s="26" t="s">
        <v>172</v>
      </c>
      <c r="I6" s="35" t="s">
        <v>173</v>
      </c>
      <c r="J6" s="36" t="s">
        <v>174</v>
      </c>
      <c r="K6" s="36" t="s">
        <v>175</v>
      </c>
      <c r="L6" s="37" t="s">
        <v>176</v>
      </c>
      <c r="M6" s="38" t="s">
        <v>177</v>
      </c>
      <c r="N6" s="39" t="s">
        <v>178</v>
      </c>
      <c r="O6" s="39" t="s">
        <v>179</v>
      </c>
      <c r="P6" s="39" t="s">
        <v>180</v>
      </c>
    </row>
    <row r="7" spans="1:16">
      <c r="A7" s="27" t="s">
        <v>181</v>
      </c>
      <c r="B7" s="28"/>
      <c r="C7" s="28"/>
      <c r="D7" s="29"/>
      <c r="E7" s="29"/>
      <c r="F7" s="30"/>
      <c r="G7" s="30"/>
      <c r="H7" s="31"/>
      <c r="I7" s="40"/>
      <c r="J7" s="31"/>
      <c r="K7" s="31"/>
      <c r="L7" s="41"/>
      <c r="M7" s="42"/>
      <c r="N7" s="43"/>
      <c r="O7" s="43"/>
      <c r="P7" s="43"/>
    </row>
    <row r="8" spans="1:16">
      <c r="A8" s="27" t="s">
        <v>182</v>
      </c>
      <c r="B8" s="28"/>
      <c r="C8" s="28"/>
      <c r="D8" s="29"/>
      <c r="E8" s="29"/>
      <c r="F8" s="30"/>
      <c r="G8" s="30"/>
      <c r="H8" s="31"/>
      <c r="I8" s="40"/>
      <c r="J8" s="31"/>
      <c r="K8" s="31"/>
      <c r="L8" s="41"/>
      <c r="M8" s="42"/>
      <c r="N8" s="43"/>
      <c r="O8" s="43"/>
      <c r="P8" s="43"/>
    </row>
    <row r="9" spans="1:16">
      <c r="A9" s="32" t="s">
        <v>183</v>
      </c>
      <c r="B9" s="28" t="s">
        <v>184</v>
      </c>
      <c r="C9" s="28" t="s">
        <v>185</v>
      </c>
      <c r="D9" s="33" t="str">
        <f>+IFERROR(VLOOKUP(C9,Data,4,FALSE),"Not in data")</f>
        <v>Not in data</v>
      </c>
      <c r="E9" s="34" t="s">
        <v>149</v>
      </c>
      <c r="F9" s="30">
        <v>1</v>
      </c>
      <c r="G9" s="30">
        <v>1</v>
      </c>
      <c r="H9" s="31">
        <v>3.5</v>
      </c>
      <c r="I9" s="40">
        <f t="shared" ref="I9:I20" si="0">+IF(F9&lt;&gt;"",F9*G9*H9,0)</f>
        <v>3.5</v>
      </c>
      <c r="J9" s="31" t="str">
        <f>+IFERROR(VLOOKUP(C9,Data,2,FALSE),"Not in weight table")</f>
        <v>Not in weight table</v>
      </c>
      <c r="K9" s="31" t="str">
        <f>+IFERROR(VLOOKUP(C9,Data,3,FALSE),"Not in weight table")</f>
        <v>Not in weight table</v>
      </c>
      <c r="L9" s="44">
        <f t="shared" ref="L9:L20" si="1">+IF(ISNUMBER(J9),I9*J9/1000,0)</f>
        <v>0</v>
      </c>
      <c r="M9" s="42">
        <f t="shared" ref="M9:M20" si="2">+IF(ISNUMBER(K9),I9*K9,0)</f>
        <v>0</v>
      </c>
      <c r="N9" s="43" t="s">
        <v>158</v>
      </c>
      <c r="O9" s="43" t="s">
        <v>158</v>
      </c>
      <c r="P9" s="43" t="s">
        <v>158</v>
      </c>
    </row>
    <row r="10" s="11" customFormat="1" spans="1:16">
      <c r="A10" s="32" t="s">
        <v>183</v>
      </c>
      <c r="B10" s="28" t="s">
        <v>184</v>
      </c>
      <c r="C10" s="28" t="s">
        <v>185</v>
      </c>
      <c r="D10" s="33" t="str">
        <f>+IFERROR(VLOOKUP(C10,Data,4,FALSE),"Not in data")</f>
        <v>Not in data</v>
      </c>
      <c r="E10" s="34" t="s">
        <v>149</v>
      </c>
      <c r="F10" s="30">
        <v>1</v>
      </c>
      <c r="G10" s="30">
        <v>1</v>
      </c>
      <c r="H10" s="31">
        <v>3.7</v>
      </c>
      <c r="I10" s="40">
        <f t="shared" si="0"/>
        <v>3.7</v>
      </c>
      <c r="J10" s="31" t="str">
        <f>+IFERROR(VLOOKUP(C10,Data,2,FALSE),"Not in weight table")</f>
        <v>Not in weight table</v>
      </c>
      <c r="K10" s="31" t="str">
        <f>+IFERROR(VLOOKUP(C10,Data,3,FALSE),"Not in weight table")</f>
        <v>Not in weight table</v>
      </c>
      <c r="L10" s="44">
        <f t="shared" si="1"/>
        <v>0</v>
      </c>
      <c r="M10" s="42">
        <f t="shared" si="2"/>
        <v>0</v>
      </c>
      <c r="N10" s="43" t="s">
        <v>158</v>
      </c>
      <c r="O10" s="43" t="s">
        <v>158</v>
      </c>
      <c r="P10" s="43" t="s">
        <v>158</v>
      </c>
    </row>
    <row r="11" s="11" customFormat="1" spans="1:16">
      <c r="A11" s="32" t="s">
        <v>183</v>
      </c>
      <c r="B11" s="28" t="s">
        <v>184</v>
      </c>
      <c r="C11" s="28" t="s">
        <v>185</v>
      </c>
      <c r="D11" s="33" t="str">
        <f>+IFERROR(VLOOKUP(C11,Data,4,FALSE),"Not in data")</f>
        <v>Not in data</v>
      </c>
      <c r="E11" s="34" t="s">
        <v>149</v>
      </c>
      <c r="F11" s="30">
        <v>1</v>
      </c>
      <c r="G11" s="30">
        <v>1</v>
      </c>
      <c r="H11" s="31">
        <v>3.9</v>
      </c>
      <c r="I11" s="40">
        <f t="shared" si="0"/>
        <v>3.9</v>
      </c>
      <c r="J11" s="31" t="str">
        <f>+IFERROR(VLOOKUP(C11,Data,2,FALSE),"Not in weight table")</f>
        <v>Not in weight table</v>
      </c>
      <c r="K11" s="31" t="str">
        <f>+IFERROR(VLOOKUP(C11,Data,3,FALSE),"Not in weight table")</f>
        <v>Not in weight table</v>
      </c>
      <c r="L11" s="44">
        <f t="shared" si="1"/>
        <v>0</v>
      </c>
      <c r="M11" s="42">
        <f t="shared" si="2"/>
        <v>0</v>
      </c>
      <c r="N11" s="43" t="s">
        <v>158</v>
      </c>
      <c r="O11" s="43" t="s">
        <v>158</v>
      </c>
      <c r="P11" s="43" t="s">
        <v>158</v>
      </c>
    </row>
    <row r="12" s="11" customFormat="1" spans="1:16">
      <c r="A12" s="32" t="s">
        <v>183</v>
      </c>
      <c r="B12" s="28" t="s">
        <v>184</v>
      </c>
      <c r="C12" s="28" t="s">
        <v>185</v>
      </c>
      <c r="D12" s="33" t="str">
        <f>+IFERROR(VLOOKUP(C12,Data,4,FALSE),"Not in data")</f>
        <v>Not in data</v>
      </c>
      <c r="E12" s="34" t="s">
        <v>149</v>
      </c>
      <c r="F12" s="30">
        <v>1</v>
      </c>
      <c r="G12" s="30">
        <v>1</v>
      </c>
      <c r="H12" s="31">
        <v>4.2</v>
      </c>
      <c r="I12" s="40">
        <f t="shared" si="0"/>
        <v>4.2</v>
      </c>
      <c r="J12" s="31" t="str">
        <f>+IFERROR(VLOOKUP(C12,Data,2,FALSE),"Not in weight table")</f>
        <v>Not in weight table</v>
      </c>
      <c r="K12" s="31" t="str">
        <f>+IFERROR(VLOOKUP(C12,Data,3,FALSE),"Not in weight table")</f>
        <v>Not in weight table</v>
      </c>
      <c r="L12" s="44">
        <f t="shared" si="1"/>
        <v>0</v>
      </c>
      <c r="M12" s="42">
        <f t="shared" si="2"/>
        <v>0</v>
      </c>
      <c r="N12" s="43" t="s">
        <v>158</v>
      </c>
      <c r="O12" s="43" t="s">
        <v>158</v>
      </c>
      <c r="P12" s="43" t="s">
        <v>158</v>
      </c>
    </row>
    <row r="13" s="11" customFormat="1" spans="1:16">
      <c r="A13" s="32" t="s">
        <v>186</v>
      </c>
      <c r="B13" s="28" t="s">
        <v>184</v>
      </c>
      <c r="C13" s="28" t="s">
        <v>185</v>
      </c>
      <c r="D13" s="33" t="str">
        <f>+IFERROR(VLOOKUP(C13,Data,4,FALSE),"Not in data")</f>
        <v>Not in data</v>
      </c>
      <c r="E13" s="34" t="s">
        <v>149</v>
      </c>
      <c r="F13" s="30">
        <v>1</v>
      </c>
      <c r="G13" s="30">
        <v>5</v>
      </c>
      <c r="H13" s="31">
        <v>3.5</v>
      </c>
      <c r="I13" s="40">
        <f t="shared" si="0"/>
        <v>17.5</v>
      </c>
      <c r="J13" s="31" t="str">
        <f>+IFERROR(VLOOKUP(C13,Data,2,FALSE),"Not in weight table")</f>
        <v>Not in weight table</v>
      </c>
      <c r="K13" s="31" t="str">
        <f>+IFERROR(VLOOKUP(C13,Data,3,FALSE),"Not in weight table")</f>
        <v>Not in weight table</v>
      </c>
      <c r="L13" s="44">
        <f t="shared" si="1"/>
        <v>0</v>
      </c>
      <c r="M13" s="42">
        <f t="shared" si="2"/>
        <v>0</v>
      </c>
      <c r="N13" s="43" t="s">
        <v>158</v>
      </c>
      <c r="O13" s="43" t="s">
        <v>158</v>
      </c>
      <c r="P13" s="43" t="s">
        <v>158</v>
      </c>
    </row>
    <row r="14" s="11" customFormat="1" spans="1:16">
      <c r="A14" s="32" t="s">
        <v>186</v>
      </c>
      <c r="B14" s="28" t="s">
        <v>184</v>
      </c>
      <c r="C14" s="28" t="s">
        <v>185</v>
      </c>
      <c r="D14" s="33" t="str">
        <f>+IFERROR(VLOOKUP(C14,Data,4,FALSE),"Not in data")</f>
        <v>Not in data</v>
      </c>
      <c r="E14" s="34" t="s">
        <v>149</v>
      </c>
      <c r="F14" s="30">
        <v>1</v>
      </c>
      <c r="G14" s="30">
        <v>7</v>
      </c>
      <c r="H14" s="31">
        <v>3.9</v>
      </c>
      <c r="I14" s="40">
        <f t="shared" si="0"/>
        <v>27.3</v>
      </c>
      <c r="J14" s="31" t="str">
        <f>+IFERROR(VLOOKUP(C14,Data,2,FALSE),"Not in weight table")</f>
        <v>Not in weight table</v>
      </c>
      <c r="K14" s="31" t="str">
        <f>+IFERROR(VLOOKUP(C14,Data,3,FALSE),"Not in weight table")</f>
        <v>Not in weight table</v>
      </c>
      <c r="L14" s="44">
        <f t="shared" si="1"/>
        <v>0</v>
      </c>
      <c r="M14" s="42">
        <f t="shared" si="2"/>
        <v>0</v>
      </c>
      <c r="N14" s="43" t="s">
        <v>158</v>
      </c>
      <c r="O14" s="43" t="s">
        <v>158</v>
      </c>
      <c r="P14" s="43" t="s">
        <v>158</v>
      </c>
    </row>
    <row r="15" s="11" customFormat="1" spans="1:16">
      <c r="A15" s="32" t="s">
        <v>186</v>
      </c>
      <c r="B15" s="28" t="s">
        <v>184</v>
      </c>
      <c r="C15" s="28" t="s">
        <v>185</v>
      </c>
      <c r="D15" s="33" t="str">
        <f>+IFERROR(VLOOKUP(C15,Data,4,FALSE),"Not in data")</f>
        <v>Not in data</v>
      </c>
      <c r="E15" s="34" t="s">
        <v>149</v>
      </c>
      <c r="F15" s="30">
        <v>1</v>
      </c>
      <c r="G15" s="30">
        <v>4</v>
      </c>
      <c r="H15" s="31">
        <v>4.2</v>
      </c>
      <c r="I15" s="40">
        <f t="shared" si="0"/>
        <v>16.8</v>
      </c>
      <c r="J15" s="31" t="str">
        <f>+IFERROR(VLOOKUP(C15,Data,2,FALSE),"Not in weight table")</f>
        <v>Not in weight table</v>
      </c>
      <c r="K15" s="31" t="str">
        <f>+IFERROR(VLOOKUP(C15,Data,3,FALSE),"Not in weight table")</f>
        <v>Not in weight table</v>
      </c>
      <c r="L15" s="44">
        <f t="shared" si="1"/>
        <v>0</v>
      </c>
      <c r="M15" s="42">
        <f t="shared" si="2"/>
        <v>0</v>
      </c>
      <c r="N15" s="43" t="s">
        <v>158</v>
      </c>
      <c r="O15" s="43" t="s">
        <v>158</v>
      </c>
      <c r="P15" s="43" t="s">
        <v>158</v>
      </c>
    </row>
    <row r="16" s="11" customFormat="1" spans="1:16">
      <c r="A16" s="32" t="s">
        <v>186</v>
      </c>
      <c r="B16" s="28" t="s">
        <v>184</v>
      </c>
      <c r="C16" s="28" t="s">
        <v>185</v>
      </c>
      <c r="D16" s="33" t="str">
        <f>+IFERROR(VLOOKUP(C16,Data,4,FALSE),"Not in data")</f>
        <v>Not in data</v>
      </c>
      <c r="E16" s="34" t="s">
        <v>149</v>
      </c>
      <c r="F16" s="30">
        <v>1</v>
      </c>
      <c r="G16" s="30">
        <v>1</v>
      </c>
      <c r="H16" s="31">
        <v>4.6</v>
      </c>
      <c r="I16" s="40">
        <f t="shared" si="0"/>
        <v>4.6</v>
      </c>
      <c r="J16" s="31" t="str">
        <f>+IFERROR(VLOOKUP(C16,Data,2,FALSE),"Not in weight table")</f>
        <v>Not in weight table</v>
      </c>
      <c r="K16" s="31" t="str">
        <f>+IFERROR(VLOOKUP(C16,Data,3,FALSE),"Not in weight table")</f>
        <v>Not in weight table</v>
      </c>
      <c r="L16" s="44">
        <f t="shared" si="1"/>
        <v>0</v>
      </c>
      <c r="M16" s="42">
        <f t="shared" si="2"/>
        <v>0</v>
      </c>
      <c r="N16" s="43" t="s">
        <v>158</v>
      </c>
      <c r="O16" s="43" t="s">
        <v>158</v>
      </c>
      <c r="P16" s="43" t="s">
        <v>158</v>
      </c>
    </row>
    <row r="17" s="11" customFormat="1" spans="1:16">
      <c r="A17" s="32" t="s">
        <v>186</v>
      </c>
      <c r="B17" s="28" t="s">
        <v>184</v>
      </c>
      <c r="C17" s="28" t="s">
        <v>185</v>
      </c>
      <c r="D17" s="33" t="str">
        <f>+IFERROR(VLOOKUP(C17,Data,4,FALSE),"Not in data")</f>
        <v>Not in data</v>
      </c>
      <c r="E17" s="34" t="s">
        <v>149</v>
      </c>
      <c r="F17" s="30">
        <v>1</v>
      </c>
      <c r="G17" s="30">
        <v>9</v>
      </c>
      <c r="H17" s="31">
        <v>3.7</v>
      </c>
      <c r="I17" s="40">
        <f t="shared" si="0"/>
        <v>33.3</v>
      </c>
      <c r="J17" s="31" t="str">
        <f>+IFERROR(VLOOKUP(C17,Data,2,FALSE),"Not in weight table")</f>
        <v>Not in weight table</v>
      </c>
      <c r="K17" s="31" t="str">
        <f>+IFERROR(VLOOKUP(C17,Data,3,FALSE),"Not in weight table")</f>
        <v>Not in weight table</v>
      </c>
      <c r="L17" s="44">
        <f t="shared" si="1"/>
        <v>0</v>
      </c>
      <c r="M17" s="42">
        <f t="shared" si="2"/>
        <v>0</v>
      </c>
      <c r="N17" s="43" t="s">
        <v>158</v>
      </c>
      <c r="O17" s="43" t="s">
        <v>158</v>
      </c>
      <c r="P17" s="43" t="s">
        <v>158</v>
      </c>
    </row>
    <row r="18" s="11" customFormat="1" spans="1:16">
      <c r="A18" s="32" t="s">
        <v>183</v>
      </c>
      <c r="B18" s="28" t="s">
        <v>187</v>
      </c>
      <c r="C18" s="28" t="s">
        <v>185</v>
      </c>
      <c r="D18" s="33" t="str">
        <f>+IFERROR(VLOOKUP(C18,Data,4,FALSE),"Not in data")</f>
        <v>Not in data</v>
      </c>
      <c r="E18" s="34" t="s">
        <v>149</v>
      </c>
      <c r="F18" s="30">
        <v>1</v>
      </c>
      <c r="G18" s="30">
        <v>1</v>
      </c>
      <c r="H18" s="31">
        <v>3.51</v>
      </c>
      <c r="I18" s="40">
        <f t="shared" si="0"/>
        <v>3.51</v>
      </c>
      <c r="J18" s="31" t="str">
        <f>+IFERROR(VLOOKUP(C18,Data,2,FALSE),"Not in weight table")</f>
        <v>Not in weight table</v>
      </c>
      <c r="K18" s="31" t="str">
        <f>+IFERROR(VLOOKUP(C18,Data,3,FALSE),"Not in weight table")</f>
        <v>Not in weight table</v>
      </c>
      <c r="L18" s="44">
        <f t="shared" si="1"/>
        <v>0</v>
      </c>
      <c r="M18" s="42">
        <f t="shared" si="2"/>
        <v>0</v>
      </c>
      <c r="N18" s="43" t="s">
        <v>158</v>
      </c>
      <c r="O18" s="43" t="s">
        <v>158</v>
      </c>
      <c r="P18" s="43" t="s">
        <v>158</v>
      </c>
    </row>
    <row r="19" s="11" customFormat="1" spans="1:16">
      <c r="A19" s="32" t="s">
        <v>183</v>
      </c>
      <c r="B19" s="28" t="s">
        <v>187</v>
      </c>
      <c r="C19" s="28" t="s">
        <v>185</v>
      </c>
      <c r="D19" s="33" t="str">
        <f>+IFERROR(VLOOKUP(C19,Data,4,FALSE),"Not in data")</f>
        <v>Not in data</v>
      </c>
      <c r="E19" s="34" t="s">
        <v>149</v>
      </c>
      <c r="F19" s="30">
        <v>1</v>
      </c>
      <c r="G19" s="30">
        <v>1</v>
      </c>
      <c r="H19" s="31">
        <v>4.32</v>
      </c>
      <c r="I19" s="40">
        <f t="shared" si="0"/>
        <v>4.32</v>
      </c>
      <c r="J19" s="31" t="str">
        <f>+IFERROR(VLOOKUP(C19,Data,2,FALSE),"Not in weight table")</f>
        <v>Not in weight table</v>
      </c>
      <c r="K19" s="31" t="str">
        <f>+IFERROR(VLOOKUP(C19,Data,3,FALSE),"Not in weight table")</f>
        <v>Not in weight table</v>
      </c>
      <c r="L19" s="44">
        <f t="shared" si="1"/>
        <v>0</v>
      </c>
      <c r="M19" s="42">
        <f t="shared" si="2"/>
        <v>0</v>
      </c>
      <c r="N19" s="43" t="s">
        <v>158</v>
      </c>
      <c r="O19" s="43" t="s">
        <v>158</v>
      </c>
      <c r="P19" s="43" t="s">
        <v>158</v>
      </c>
    </row>
    <row r="20" s="11" customFormat="1" spans="1:16">
      <c r="A20" s="32" t="s">
        <v>183</v>
      </c>
      <c r="B20" s="28" t="s">
        <v>188</v>
      </c>
      <c r="C20" s="28" t="s">
        <v>189</v>
      </c>
      <c r="D20" s="33" t="str">
        <f>+IFERROR(VLOOKUP(C20,Data,4,FALSE),"Not in data")</f>
        <v>S</v>
      </c>
      <c r="E20" s="34" t="s">
        <v>149</v>
      </c>
      <c r="F20" s="30">
        <v>1</v>
      </c>
      <c r="G20" s="30">
        <v>2</v>
      </c>
      <c r="H20" s="31">
        <v>3</v>
      </c>
      <c r="I20" s="40">
        <f t="shared" si="0"/>
        <v>6</v>
      </c>
      <c r="J20" s="31">
        <f>+IFERROR(VLOOKUP(C20,Data,2,FALSE),"Not in weight table")</f>
        <v>22.9</v>
      </c>
      <c r="K20" s="31">
        <f>+IFERROR(VLOOKUP(C20,Data,3,FALSE),"Not in weight table")</f>
        <v>0.668</v>
      </c>
      <c r="L20" s="44">
        <f t="shared" si="1"/>
        <v>0.1374</v>
      </c>
      <c r="M20" s="42">
        <f t="shared" si="2"/>
        <v>4.008</v>
      </c>
      <c r="N20" s="43" t="s">
        <v>158</v>
      </c>
      <c r="O20" s="43" t="s">
        <v>158</v>
      </c>
      <c r="P20" s="43" t="s">
        <v>158</v>
      </c>
    </row>
    <row r="21" s="11" customFormat="1" spans="1:16">
      <c r="A21" s="27" t="s">
        <v>190</v>
      </c>
      <c r="B21" s="28"/>
      <c r="C21" s="28"/>
      <c r="D21" s="33"/>
      <c r="E21" s="34"/>
      <c r="F21" s="30"/>
      <c r="G21" s="30"/>
      <c r="H21" s="31"/>
      <c r="I21" s="40"/>
      <c r="J21" s="31"/>
      <c r="K21" s="31"/>
      <c r="L21" s="44"/>
      <c r="M21" s="42"/>
      <c r="N21" s="43"/>
      <c r="O21" s="43"/>
      <c r="P21" s="43"/>
    </row>
    <row r="22" s="11" customFormat="1" spans="1:16">
      <c r="A22" s="32" t="s">
        <v>183</v>
      </c>
      <c r="B22" s="28" t="s">
        <v>187</v>
      </c>
      <c r="C22" s="28" t="s">
        <v>185</v>
      </c>
      <c r="D22" s="33" t="str">
        <f>+IFERROR(VLOOKUP(C22,Data,4,FALSE),"Not in data")</f>
        <v>Not in data</v>
      </c>
      <c r="E22" s="34" t="s">
        <v>149</v>
      </c>
      <c r="F22" s="30">
        <v>1</v>
      </c>
      <c r="G22" s="30">
        <v>21</v>
      </c>
      <c r="H22" s="31">
        <v>3.51</v>
      </c>
      <c r="I22" s="40">
        <f t="shared" ref="I22:I48" si="3">+IF(F22&lt;&gt;"",F22*G22*H22,0)</f>
        <v>73.71</v>
      </c>
      <c r="J22" s="31" t="str">
        <f>+IFERROR(VLOOKUP(C22,Data,2,FALSE),"Not in weight table")</f>
        <v>Not in weight table</v>
      </c>
      <c r="K22" s="31" t="str">
        <f>+IFERROR(VLOOKUP(C22,Data,3,FALSE),"Not in weight table")</f>
        <v>Not in weight table</v>
      </c>
      <c r="L22" s="44">
        <f t="shared" ref="L22:L48" si="4">+IF(ISNUMBER(J22),I22*J22/1000,0)</f>
        <v>0</v>
      </c>
      <c r="M22" s="42">
        <f t="shared" ref="M22:M48" si="5">+IF(ISNUMBER(K22),I22*K22,0)</f>
        <v>0</v>
      </c>
      <c r="N22" s="43" t="s">
        <v>158</v>
      </c>
      <c r="O22" s="43" t="s">
        <v>158</v>
      </c>
      <c r="P22" s="43" t="s">
        <v>158</v>
      </c>
    </row>
    <row r="23" s="11" customFormat="1" spans="1:16">
      <c r="A23" s="32" t="s">
        <v>183</v>
      </c>
      <c r="B23" s="28" t="s">
        <v>187</v>
      </c>
      <c r="C23" s="28" t="s">
        <v>185</v>
      </c>
      <c r="D23" s="33" t="str">
        <f>+IFERROR(VLOOKUP(C23,Data,4,FALSE),"Not in data")</f>
        <v>Not in data</v>
      </c>
      <c r="E23" s="34" t="s">
        <v>149</v>
      </c>
      <c r="F23" s="30">
        <v>1</v>
      </c>
      <c r="G23" s="30">
        <v>22</v>
      </c>
      <c r="H23" s="31">
        <v>3.51</v>
      </c>
      <c r="I23" s="40">
        <f t="shared" si="3"/>
        <v>77.22</v>
      </c>
      <c r="J23" s="31" t="str">
        <f>+IFERROR(VLOOKUP(C23,Data,2,FALSE),"Not in weight table")</f>
        <v>Not in weight table</v>
      </c>
      <c r="K23" s="31" t="str">
        <f>+IFERROR(VLOOKUP(C23,Data,3,FALSE),"Not in weight table")</f>
        <v>Not in weight table</v>
      </c>
      <c r="L23" s="44">
        <f t="shared" si="4"/>
        <v>0</v>
      </c>
      <c r="M23" s="42">
        <f t="shared" si="5"/>
        <v>0</v>
      </c>
      <c r="N23" s="43" t="s">
        <v>158</v>
      </c>
      <c r="O23" s="43" t="s">
        <v>158</v>
      </c>
      <c r="P23" s="43" t="s">
        <v>158</v>
      </c>
    </row>
    <row r="24" s="11" customFormat="1" spans="1:16">
      <c r="A24" s="32" t="s">
        <v>183</v>
      </c>
      <c r="B24" s="28" t="s">
        <v>191</v>
      </c>
      <c r="C24" s="28" t="s">
        <v>192</v>
      </c>
      <c r="D24" s="33" t="str">
        <f>+IFERROR(VLOOKUP(C24,Data,4,FALSE),"Not in data")</f>
        <v>T</v>
      </c>
      <c r="E24" s="34" t="s">
        <v>149</v>
      </c>
      <c r="F24" s="30">
        <v>1</v>
      </c>
      <c r="G24" s="30">
        <v>21</v>
      </c>
      <c r="H24" s="31">
        <v>3.51</v>
      </c>
      <c r="I24" s="40">
        <f t="shared" si="3"/>
        <v>73.71</v>
      </c>
      <c r="J24" s="31">
        <f>+IFERROR(VLOOKUP(C24,Data,2,FALSE),"Not in weight table")</f>
        <v>14.6</v>
      </c>
      <c r="K24" s="31">
        <f>+IFERROR(VLOOKUP(C24,Data,3,FALSE),"Not in weight table")</f>
        <v>0.33</v>
      </c>
      <c r="L24" s="44">
        <f t="shared" si="4"/>
        <v>1.076166</v>
      </c>
      <c r="M24" s="42">
        <f t="shared" si="5"/>
        <v>24.3243</v>
      </c>
      <c r="N24" s="43" t="s">
        <v>158</v>
      </c>
      <c r="O24" s="43" t="s">
        <v>158</v>
      </c>
      <c r="P24" s="43" t="s">
        <v>158</v>
      </c>
    </row>
    <row r="25" s="11" customFormat="1" spans="1:16">
      <c r="A25" s="32" t="s">
        <v>183</v>
      </c>
      <c r="B25" s="28" t="s">
        <v>191</v>
      </c>
      <c r="C25" s="28" t="s">
        <v>192</v>
      </c>
      <c r="D25" s="33" t="str">
        <f>+IFERROR(VLOOKUP(C25,Data,4,FALSE),"Not in data")</f>
        <v>T</v>
      </c>
      <c r="E25" s="34" t="s">
        <v>149</v>
      </c>
      <c r="F25" s="30">
        <v>1</v>
      </c>
      <c r="G25" s="30">
        <v>2</v>
      </c>
      <c r="H25" s="31">
        <v>3</v>
      </c>
      <c r="I25" s="40">
        <f t="shared" si="3"/>
        <v>6</v>
      </c>
      <c r="J25" s="31">
        <f>+IFERROR(VLOOKUP(C25,Data,2,FALSE),"Not in weight table")</f>
        <v>14.6</v>
      </c>
      <c r="K25" s="31">
        <f>+IFERROR(VLOOKUP(C25,Data,3,FALSE),"Not in weight table")</f>
        <v>0.33</v>
      </c>
      <c r="L25" s="44">
        <f t="shared" si="4"/>
        <v>0.0876</v>
      </c>
      <c r="M25" s="42">
        <f t="shared" si="5"/>
        <v>1.98</v>
      </c>
      <c r="N25" s="43" t="s">
        <v>158</v>
      </c>
      <c r="O25" s="43" t="s">
        <v>158</v>
      </c>
      <c r="P25" s="43" t="s">
        <v>158</v>
      </c>
    </row>
    <row r="26" s="11" customFormat="1" spans="1:16">
      <c r="A26" s="32" t="s">
        <v>183</v>
      </c>
      <c r="B26" s="28" t="s">
        <v>193</v>
      </c>
      <c r="C26" s="28" t="s">
        <v>194</v>
      </c>
      <c r="D26" s="33" t="str">
        <f>+IFERROR(VLOOKUP(C26,Data,4,FALSE),"Not in data")</f>
        <v>T</v>
      </c>
      <c r="E26" s="34" t="s">
        <v>149</v>
      </c>
      <c r="F26" s="30">
        <v>1</v>
      </c>
      <c r="G26" s="30">
        <v>1</v>
      </c>
      <c r="H26" s="31">
        <v>7.73</v>
      </c>
      <c r="I26" s="40">
        <f t="shared" si="3"/>
        <v>7.73</v>
      </c>
      <c r="J26" s="31">
        <f>+IFERROR(VLOOKUP(C26,Data,2,FALSE),"Not in weight table")</f>
        <v>17.9</v>
      </c>
      <c r="K26" s="31">
        <f>+IFERROR(VLOOKUP(C26,Data,3,FALSE),"Not in weight table")</f>
        <v>0.583</v>
      </c>
      <c r="L26" s="44">
        <f t="shared" si="4"/>
        <v>0.138367</v>
      </c>
      <c r="M26" s="42">
        <f t="shared" si="5"/>
        <v>4.50659</v>
      </c>
      <c r="N26" s="43" t="s">
        <v>158</v>
      </c>
      <c r="O26" s="43" t="s">
        <v>158</v>
      </c>
      <c r="P26" s="43" t="s">
        <v>158</v>
      </c>
    </row>
    <row r="27" s="11" customFormat="1" spans="1:16">
      <c r="A27" s="32" t="s">
        <v>183</v>
      </c>
      <c r="B27" s="28" t="s">
        <v>193</v>
      </c>
      <c r="C27" s="28" t="s">
        <v>194</v>
      </c>
      <c r="D27" s="33" t="str">
        <f>+IFERROR(VLOOKUP(C27,Data,4,FALSE),"Not in data")</f>
        <v>T</v>
      </c>
      <c r="E27" s="34" t="s">
        <v>149</v>
      </c>
      <c r="F27" s="30">
        <v>1</v>
      </c>
      <c r="G27" s="30">
        <v>1</v>
      </c>
      <c r="H27" s="31">
        <v>2.5</v>
      </c>
      <c r="I27" s="40">
        <f t="shared" si="3"/>
        <v>2.5</v>
      </c>
      <c r="J27" s="31">
        <f>+IFERROR(VLOOKUP(C27,Data,2,FALSE),"Not in weight table")</f>
        <v>17.9</v>
      </c>
      <c r="K27" s="31">
        <f>+IFERROR(VLOOKUP(C27,Data,3,FALSE),"Not in weight table")</f>
        <v>0.583</v>
      </c>
      <c r="L27" s="44">
        <f t="shared" si="4"/>
        <v>0.04475</v>
      </c>
      <c r="M27" s="42">
        <f t="shared" si="5"/>
        <v>1.4575</v>
      </c>
      <c r="N27" s="43" t="s">
        <v>158</v>
      </c>
      <c r="O27" s="43" t="s">
        <v>158</v>
      </c>
      <c r="P27" s="43" t="s">
        <v>158</v>
      </c>
    </row>
    <row r="28" s="11" customFormat="1" spans="1:16">
      <c r="A28" s="32" t="s">
        <v>183</v>
      </c>
      <c r="B28" s="28" t="s">
        <v>193</v>
      </c>
      <c r="C28" s="28" t="s">
        <v>194</v>
      </c>
      <c r="D28" s="33" t="str">
        <f>+IFERROR(VLOOKUP(C28,Data,4,FALSE),"Not in data")</f>
        <v>T</v>
      </c>
      <c r="E28" s="34" t="s">
        <v>149</v>
      </c>
      <c r="F28" s="30">
        <v>1</v>
      </c>
      <c r="G28" s="30">
        <v>1</v>
      </c>
      <c r="H28" s="31">
        <v>3.9</v>
      </c>
      <c r="I28" s="40">
        <f t="shared" si="3"/>
        <v>3.9</v>
      </c>
      <c r="J28" s="31">
        <f>+IFERROR(VLOOKUP(C28,Data,2,FALSE),"Not in weight table")</f>
        <v>17.9</v>
      </c>
      <c r="K28" s="31">
        <f>+IFERROR(VLOOKUP(C28,Data,3,FALSE),"Not in weight table")</f>
        <v>0.583</v>
      </c>
      <c r="L28" s="44">
        <f t="shared" si="4"/>
        <v>0.06981</v>
      </c>
      <c r="M28" s="42">
        <f t="shared" si="5"/>
        <v>2.2737</v>
      </c>
      <c r="N28" s="43" t="s">
        <v>158</v>
      </c>
      <c r="O28" s="43" t="s">
        <v>158</v>
      </c>
      <c r="P28" s="43" t="s">
        <v>158</v>
      </c>
    </row>
    <row r="29" s="11" customFormat="1" spans="1:16">
      <c r="A29" s="32" t="s">
        <v>183</v>
      </c>
      <c r="B29" s="28" t="s">
        <v>193</v>
      </c>
      <c r="C29" s="28" t="s">
        <v>194</v>
      </c>
      <c r="D29" s="33" t="str">
        <f>+IFERROR(VLOOKUP(C29,Data,4,FALSE),"Not in data")</f>
        <v>T</v>
      </c>
      <c r="E29" s="34" t="s">
        <v>149</v>
      </c>
      <c r="F29" s="30">
        <v>1</v>
      </c>
      <c r="G29" s="30">
        <v>1</v>
      </c>
      <c r="H29" s="31">
        <v>7.54</v>
      </c>
      <c r="I29" s="40">
        <f t="shared" si="3"/>
        <v>7.54</v>
      </c>
      <c r="J29" s="31">
        <f>+IFERROR(VLOOKUP(C29,Data,2,FALSE),"Not in weight table")</f>
        <v>17.9</v>
      </c>
      <c r="K29" s="31">
        <f>+IFERROR(VLOOKUP(C29,Data,3,FALSE),"Not in weight table")</f>
        <v>0.583</v>
      </c>
      <c r="L29" s="44">
        <f t="shared" si="4"/>
        <v>0.134966</v>
      </c>
      <c r="M29" s="42">
        <f t="shared" si="5"/>
        <v>4.39582</v>
      </c>
      <c r="N29" s="43" t="s">
        <v>158</v>
      </c>
      <c r="O29" s="43" t="s">
        <v>158</v>
      </c>
      <c r="P29" s="43" t="s">
        <v>158</v>
      </c>
    </row>
    <row r="30" s="11" customFormat="1" spans="1:16">
      <c r="A30" s="32" t="s">
        <v>183</v>
      </c>
      <c r="B30" s="28" t="s">
        <v>193</v>
      </c>
      <c r="C30" s="28" t="s">
        <v>194</v>
      </c>
      <c r="D30" s="33" t="str">
        <f>+IFERROR(VLOOKUP(C30,Data,4,FALSE),"Not in data")</f>
        <v>T</v>
      </c>
      <c r="E30" s="34" t="s">
        <v>149</v>
      </c>
      <c r="F30" s="30">
        <v>1</v>
      </c>
      <c r="G30" s="30">
        <v>1</v>
      </c>
      <c r="H30" s="31">
        <v>3.69</v>
      </c>
      <c r="I30" s="40">
        <f t="shared" si="3"/>
        <v>3.69</v>
      </c>
      <c r="J30" s="31">
        <f>+IFERROR(VLOOKUP(C30,Data,2,FALSE),"Not in weight table")</f>
        <v>17.9</v>
      </c>
      <c r="K30" s="31">
        <f>+IFERROR(VLOOKUP(C30,Data,3,FALSE),"Not in weight table")</f>
        <v>0.583</v>
      </c>
      <c r="L30" s="44">
        <f t="shared" si="4"/>
        <v>0.066051</v>
      </c>
      <c r="M30" s="42">
        <f t="shared" si="5"/>
        <v>2.15127</v>
      </c>
      <c r="N30" s="43" t="s">
        <v>158</v>
      </c>
      <c r="O30" s="43" t="s">
        <v>158</v>
      </c>
      <c r="P30" s="43" t="s">
        <v>158</v>
      </c>
    </row>
    <row r="31" s="11" customFormat="1" spans="1:16">
      <c r="A31" s="32" t="s">
        <v>183</v>
      </c>
      <c r="B31" s="28" t="s">
        <v>193</v>
      </c>
      <c r="C31" s="28" t="s">
        <v>194</v>
      </c>
      <c r="D31" s="33" t="str">
        <f>+IFERROR(VLOOKUP(C31,Data,4,FALSE),"Not in data")</f>
        <v>T</v>
      </c>
      <c r="E31" s="34" t="s">
        <v>149</v>
      </c>
      <c r="F31" s="30">
        <v>1</v>
      </c>
      <c r="G31" s="30">
        <v>1</v>
      </c>
      <c r="H31" s="31">
        <v>3.8</v>
      </c>
      <c r="I31" s="40">
        <f t="shared" si="3"/>
        <v>3.8</v>
      </c>
      <c r="J31" s="31">
        <f>+IFERROR(VLOOKUP(C31,Data,2,FALSE),"Not in weight table")</f>
        <v>17.9</v>
      </c>
      <c r="K31" s="31">
        <f>+IFERROR(VLOOKUP(C31,Data,3,FALSE),"Not in weight table")</f>
        <v>0.583</v>
      </c>
      <c r="L31" s="44">
        <f t="shared" si="4"/>
        <v>0.06802</v>
      </c>
      <c r="M31" s="42">
        <f t="shared" si="5"/>
        <v>2.2154</v>
      </c>
      <c r="N31" s="43" t="s">
        <v>158</v>
      </c>
      <c r="O31" s="43" t="s">
        <v>158</v>
      </c>
      <c r="P31" s="43" t="s">
        <v>158</v>
      </c>
    </row>
    <row r="32" s="11" customFormat="1" spans="1:16">
      <c r="A32" s="32" t="s">
        <v>183</v>
      </c>
      <c r="B32" s="28" t="s">
        <v>195</v>
      </c>
      <c r="C32" s="28" t="s">
        <v>192</v>
      </c>
      <c r="D32" s="33" t="str">
        <f>+IFERROR(VLOOKUP(C32,Data,4,FALSE),"Not in data")</f>
        <v>T</v>
      </c>
      <c r="E32" s="34" t="s">
        <v>149</v>
      </c>
      <c r="F32" s="30">
        <v>1</v>
      </c>
      <c r="G32" s="30">
        <v>2</v>
      </c>
      <c r="H32" s="31">
        <v>3.8</v>
      </c>
      <c r="I32" s="40">
        <f t="shared" si="3"/>
        <v>7.6</v>
      </c>
      <c r="J32" s="31">
        <f>+IFERROR(VLOOKUP(C32,Data,2,FALSE),"Not in weight table")</f>
        <v>14.6</v>
      </c>
      <c r="K32" s="31">
        <f>+IFERROR(VLOOKUP(C32,Data,3,FALSE),"Not in weight table")</f>
        <v>0.33</v>
      </c>
      <c r="L32" s="44">
        <f t="shared" si="4"/>
        <v>0.11096</v>
      </c>
      <c r="M32" s="42">
        <f t="shared" si="5"/>
        <v>2.508</v>
      </c>
      <c r="N32" s="43" t="s">
        <v>158</v>
      </c>
      <c r="O32" s="43" t="s">
        <v>158</v>
      </c>
      <c r="P32" s="43" t="s">
        <v>158</v>
      </c>
    </row>
    <row r="33" s="11" customFormat="1" spans="1:16">
      <c r="A33" s="32" t="s">
        <v>186</v>
      </c>
      <c r="B33" s="28" t="s">
        <v>196</v>
      </c>
      <c r="C33" s="28" t="s">
        <v>189</v>
      </c>
      <c r="D33" s="33" t="str">
        <f>+IFERROR(VLOOKUP(C33,Data,4,FALSE),"Not in data")</f>
        <v>S</v>
      </c>
      <c r="E33" s="34" t="s">
        <v>149</v>
      </c>
      <c r="F33" s="30">
        <v>1</v>
      </c>
      <c r="G33" s="30">
        <v>3</v>
      </c>
      <c r="H33" s="31">
        <v>7.57</v>
      </c>
      <c r="I33" s="40">
        <f t="shared" si="3"/>
        <v>22.71</v>
      </c>
      <c r="J33" s="31">
        <f>+IFERROR(VLOOKUP(C33,Data,2,FALSE),"Not in weight table")</f>
        <v>22.9</v>
      </c>
      <c r="K33" s="31">
        <f>+IFERROR(VLOOKUP(C33,Data,3,FALSE),"Not in weight table")</f>
        <v>0.668</v>
      </c>
      <c r="L33" s="44">
        <f t="shared" si="4"/>
        <v>0.520059</v>
      </c>
      <c r="M33" s="42">
        <f t="shared" si="5"/>
        <v>15.17028</v>
      </c>
      <c r="N33" s="43" t="s">
        <v>158</v>
      </c>
      <c r="O33" s="43" t="s">
        <v>158</v>
      </c>
      <c r="P33" s="43" t="s">
        <v>158</v>
      </c>
    </row>
    <row r="34" s="11" customFormat="1" spans="1:16">
      <c r="A34" s="32" t="s">
        <v>186</v>
      </c>
      <c r="B34" s="28" t="s">
        <v>196</v>
      </c>
      <c r="C34" s="28" t="s">
        <v>189</v>
      </c>
      <c r="D34" s="33" t="str">
        <f>+IFERROR(VLOOKUP(C34,Data,4,FALSE),"Not in data")</f>
        <v>S</v>
      </c>
      <c r="E34" s="34" t="s">
        <v>149</v>
      </c>
      <c r="F34" s="30">
        <v>1</v>
      </c>
      <c r="G34" s="30">
        <v>1</v>
      </c>
      <c r="H34" s="31">
        <v>6.75</v>
      </c>
      <c r="I34" s="40">
        <f t="shared" si="3"/>
        <v>6.75</v>
      </c>
      <c r="J34" s="31">
        <f>+IFERROR(VLOOKUP(C34,Data,2,FALSE),"Not in weight table")</f>
        <v>22.9</v>
      </c>
      <c r="K34" s="31">
        <f>+IFERROR(VLOOKUP(C34,Data,3,FALSE),"Not in weight table")</f>
        <v>0.668</v>
      </c>
      <c r="L34" s="44">
        <f t="shared" si="4"/>
        <v>0.154575</v>
      </c>
      <c r="M34" s="42">
        <f t="shared" si="5"/>
        <v>4.509</v>
      </c>
      <c r="N34" s="43" t="s">
        <v>158</v>
      </c>
      <c r="O34" s="43" t="s">
        <v>158</v>
      </c>
      <c r="P34" s="43" t="s">
        <v>158</v>
      </c>
    </row>
    <row r="35" s="11" customFormat="1" spans="1:16">
      <c r="A35" s="32" t="s">
        <v>186</v>
      </c>
      <c r="B35" s="28" t="s">
        <v>196</v>
      </c>
      <c r="C35" s="28" t="s">
        <v>189</v>
      </c>
      <c r="D35" s="33" t="str">
        <f>+IFERROR(VLOOKUP(C35,Data,4,FALSE),"Not in data")</f>
        <v>S</v>
      </c>
      <c r="E35" s="34" t="s">
        <v>149</v>
      </c>
      <c r="F35" s="30">
        <v>1</v>
      </c>
      <c r="G35" s="30">
        <v>1</v>
      </c>
      <c r="H35" s="31">
        <v>6</v>
      </c>
      <c r="I35" s="40">
        <f t="shared" si="3"/>
        <v>6</v>
      </c>
      <c r="J35" s="31">
        <f>+IFERROR(VLOOKUP(C35,Data,2,FALSE),"Not in weight table")</f>
        <v>22.9</v>
      </c>
      <c r="K35" s="31">
        <f>+IFERROR(VLOOKUP(C35,Data,3,FALSE),"Not in weight table")</f>
        <v>0.668</v>
      </c>
      <c r="L35" s="44">
        <f t="shared" si="4"/>
        <v>0.1374</v>
      </c>
      <c r="M35" s="42">
        <f t="shared" si="5"/>
        <v>4.008</v>
      </c>
      <c r="N35" s="43" t="s">
        <v>158</v>
      </c>
      <c r="O35" s="43" t="s">
        <v>158</v>
      </c>
      <c r="P35" s="43" t="s">
        <v>158</v>
      </c>
    </row>
    <row r="36" s="11" customFormat="1" spans="1:16">
      <c r="A36" s="32" t="s">
        <v>186</v>
      </c>
      <c r="B36" s="28" t="s">
        <v>196</v>
      </c>
      <c r="C36" s="28" t="s">
        <v>189</v>
      </c>
      <c r="D36" s="33" t="str">
        <f>+IFERROR(VLOOKUP(C36,Data,4,FALSE),"Not in data")</f>
        <v>S</v>
      </c>
      <c r="E36" s="34" t="s">
        <v>149</v>
      </c>
      <c r="F36" s="30">
        <v>1</v>
      </c>
      <c r="G36" s="30">
        <v>1</v>
      </c>
      <c r="H36" s="31">
        <v>5.1</v>
      </c>
      <c r="I36" s="40">
        <f t="shared" si="3"/>
        <v>5.1</v>
      </c>
      <c r="J36" s="31">
        <f>+IFERROR(VLOOKUP(C36,Data,2,FALSE),"Not in weight table")</f>
        <v>22.9</v>
      </c>
      <c r="K36" s="31">
        <f>+IFERROR(VLOOKUP(C36,Data,3,FALSE),"Not in weight table")</f>
        <v>0.668</v>
      </c>
      <c r="L36" s="44">
        <f t="shared" si="4"/>
        <v>0.11679</v>
      </c>
      <c r="M36" s="42">
        <f t="shared" si="5"/>
        <v>3.4068</v>
      </c>
      <c r="N36" s="43" t="s">
        <v>158</v>
      </c>
      <c r="O36" s="43" t="s">
        <v>158</v>
      </c>
      <c r="P36" s="43" t="s">
        <v>158</v>
      </c>
    </row>
    <row r="37" s="11" customFormat="1" spans="1:16">
      <c r="A37" s="32" t="s">
        <v>186</v>
      </c>
      <c r="B37" s="28" t="s">
        <v>196</v>
      </c>
      <c r="C37" s="28" t="s">
        <v>189</v>
      </c>
      <c r="D37" s="33" t="str">
        <f>+IFERROR(VLOOKUP(C37,Data,4,FALSE),"Not in data")</f>
        <v>S</v>
      </c>
      <c r="E37" s="34" t="s">
        <v>149</v>
      </c>
      <c r="F37" s="30">
        <v>1</v>
      </c>
      <c r="G37" s="30">
        <v>3</v>
      </c>
      <c r="H37" s="31">
        <v>7.7</v>
      </c>
      <c r="I37" s="40">
        <f t="shared" si="3"/>
        <v>23.1</v>
      </c>
      <c r="J37" s="31">
        <f>+IFERROR(VLOOKUP(C37,Data,2,FALSE),"Not in weight table")</f>
        <v>22.9</v>
      </c>
      <c r="K37" s="31">
        <f>+IFERROR(VLOOKUP(C37,Data,3,FALSE),"Not in weight table")</f>
        <v>0.668</v>
      </c>
      <c r="L37" s="44">
        <f t="shared" si="4"/>
        <v>0.52899</v>
      </c>
      <c r="M37" s="42">
        <f t="shared" si="5"/>
        <v>15.4308</v>
      </c>
      <c r="N37" s="43" t="s">
        <v>158</v>
      </c>
      <c r="O37" s="43" t="s">
        <v>158</v>
      </c>
      <c r="P37" s="43" t="s">
        <v>158</v>
      </c>
    </row>
    <row r="38" s="11" customFormat="1" spans="1:16">
      <c r="A38" s="32" t="s">
        <v>186</v>
      </c>
      <c r="B38" s="28" t="s">
        <v>196</v>
      </c>
      <c r="C38" s="28" t="s">
        <v>189</v>
      </c>
      <c r="D38" s="33" t="str">
        <f>+IFERROR(VLOOKUP(C38,Data,4,FALSE),"Not in data")</f>
        <v>S</v>
      </c>
      <c r="E38" s="34" t="s">
        <v>149</v>
      </c>
      <c r="F38" s="30">
        <v>1</v>
      </c>
      <c r="G38" s="30">
        <v>2</v>
      </c>
      <c r="H38" s="31">
        <v>3.9</v>
      </c>
      <c r="I38" s="40">
        <f t="shared" si="3"/>
        <v>7.8</v>
      </c>
      <c r="J38" s="31">
        <f>+IFERROR(VLOOKUP(C38,Data,2,FALSE),"Not in weight table")</f>
        <v>22.9</v>
      </c>
      <c r="K38" s="31">
        <f>+IFERROR(VLOOKUP(C38,Data,3,FALSE),"Not in weight table")</f>
        <v>0.668</v>
      </c>
      <c r="L38" s="44">
        <f t="shared" si="4"/>
        <v>0.17862</v>
      </c>
      <c r="M38" s="42">
        <f t="shared" si="5"/>
        <v>5.2104</v>
      </c>
      <c r="N38" s="43" t="s">
        <v>158</v>
      </c>
      <c r="O38" s="43" t="s">
        <v>158</v>
      </c>
      <c r="P38" s="43" t="s">
        <v>158</v>
      </c>
    </row>
    <row r="39" s="11" customFormat="1" spans="1:16">
      <c r="A39" s="32" t="s">
        <v>186</v>
      </c>
      <c r="B39" s="28" t="s">
        <v>196</v>
      </c>
      <c r="C39" s="28" t="s">
        <v>189</v>
      </c>
      <c r="D39" s="33" t="str">
        <f>+IFERROR(VLOOKUP(C39,Data,4,FALSE),"Not in data")</f>
        <v>S</v>
      </c>
      <c r="E39" s="34" t="s">
        <v>149</v>
      </c>
      <c r="F39" s="30">
        <v>1</v>
      </c>
      <c r="G39" s="30">
        <v>1</v>
      </c>
      <c r="H39" s="31">
        <v>20.4</v>
      </c>
      <c r="I39" s="40">
        <f t="shared" si="3"/>
        <v>20.4</v>
      </c>
      <c r="J39" s="31">
        <f>+IFERROR(VLOOKUP(C39,Data,2,FALSE),"Not in weight table")</f>
        <v>22.9</v>
      </c>
      <c r="K39" s="31">
        <f>+IFERROR(VLOOKUP(C39,Data,3,FALSE),"Not in weight table")</f>
        <v>0.668</v>
      </c>
      <c r="L39" s="44">
        <f t="shared" si="4"/>
        <v>0.46716</v>
      </c>
      <c r="M39" s="42">
        <f t="shared" si="5"/>
        <v>13.6272</v>
      </c>
      <c r="N39" s="43" t="s">
        <v>158</v>
      </c>
      <c r="O39" s="43" t="s">
        <v>158</v>
      </c>
      <c r="P39" s="43" t="s">
        <v>158</v>
      </c>
    </row>
    <row r="40" s="11" customFormat="1" spans="1:16">
      <c r="A40" s="32" t="s">
        <v>186</v>
      </c>
      <c r="B40" s="28" t="s">
        <v>197</v>
      </c>
      <c r="C40" s="28" t="s">
        <v>198</v>
      </c>
      <c r="D40" s="33" t="str">
        <f>+IFERROR(VLOOKUP(C40,Data,4,FALSE),"Not in data")</f>
        <v>S</v>
      </c>
      <c r="E40" s="34" t="s">
        <v>149</v>
      </c>
      <c r="F40" s="30">
        <v>1</v>
      </c>
      <c r="G40" s="30">
        <v>11</v>
      </c>
      <c r="H40" s="31">
        <v>1.6</v>
      </c>
      <c r="I40" s="40">
        <f t="shared" si="3"/>
        <v>17.6</v>
      </c>
      <c r="J40" s="31">
        <f>+IFERROR(VLOOKUP(C40,Data,2,FALSE),"Not in weight table")</f>
        <v>8.73</v>
      </c>
      <c r="K40" s="31">
        <f>+IFERROR(VLOOKUP(C40,Data,3,FALSE),"Not in weight table")</f>
        <v>0.292</v>
      </c>
      <c r="L40" s="44">
        <f t="shared" si="4"/>
        <v>0.153648</v>
      </c>
      <c r="M40" s="42">
        <f t="shared" si="5"/>
        <v>5.1392</v>
      </c>
      <c r="N40" s="43" t="s">
        <v>158</v>
      </c>
      <c r="O40" s="43" t="s">
        <v>158</v>
      </c>
      <c r="P40" s="43" t="s">
        <v>158</v>
      </c>
    </row>
    <row r="41" s="11" customFormat="1" spans="1:16">
      <c r="A41" s="32" t="s">
        <v>186</v>
      </c>
      <c r="B41" s="28" t="s">
        <v>199</v>
      </c>
      <c r="C41" s="28" t="s">
        <v>200</v>
      </c>
      <c r="D41" s="33" t="str">
        <f>+IFERROR(VLOOKUP(C41,Data,4,FALSE),"Not in data")</f>
        <v>Not in data</v>
      </c>
      <c r="E41" s="34" t="s">
        <v>149</v>
      </c>
      <c r="F41" s="30">
        <v>1</v>
      </c>
      <c r="G41" s="30">
        <v>2</v>
      </c>
      <c r="H41" s="31">
        <v>4</v>
      </c>
      <c r="I41" s="40">
        <f t="shared" si="3"/>
        <v>8</v>
      </c>
      <c r="J41" s="31" t="str">
        <f>+IFERROR(VLOOKUP(C41,Data,2,FALSE),"Not in weight table")</f>
        <v>Not in weight table</v>
      </c>
      <c r="K41" s="31" t="str">
        <f>+IFERROR(VLOOKUP(C41,Data,3,FALSE),"Not in weight table")</f>
        <v>Not in weight table</v>
      </c>
      <c r="L41" s="44">
        <f t="shared" si="4"/>
        <v>0</v>
      </c>
      <c r="M41" s="42">
        <f t="shared" si="5"/>
        <v>0</v>
      </c>
      <c r="N41" s="43" t="s">
        <v>158</v>
      </c>
      <c r="O41" s="43" t="s">
        <v>158</v>
      </c>
      <c r="P41" s="43" t="s">
        <v>158</v>
      </c>
    </row>
    <row r="42" s="11" customFormat="1" spans="1:16">
      <c r="A42" s="32" t="s">
        <v>186</v>
      </c>
      <c r="B42" s="28" t="s">
        <v>199</v>
      </c>
      <c r="C42" s="28" t="s">
        <v>200</v>
      </c>
      <c r="D42" s="33" t="str">
        <f>+IFERROR(VLOOKUP(C42,Data,4,FALSE),"Not in data")</f>
        <v>Not in data</v>
      </c>
      <c r="E42" s="34" t="s">
        <v>149</v>
      </c>
      <c r="F42" s="30">
        <v>1</v>
      </c>
      <c r="G42" s="30">
        <v>1</v>
      </c>
      <c r="H42" s="31">
        <v>2.4</v>
      </c>
      <c r="I42" s="40">
        <f t="shared" si="3"/>
        <v>2.4</v>
      </c>
      <c r="J42" s="31" t="str">
        <f>+IFERROR(VLOOKUP(C42,Data,2,FALSE),"Not in weight table")</f>
        <v>Not in weight table</v>
      </c>
      <c r="K42" s="31" t="str">
        <f>+IFERROR(VLOOKUP(C42,Data,3,FALSE),"Not in weight table")</f>
        <v>Not in weight table</v>
      </c>
      <c r="L42" s="44">
        <f t="shared" si="4"/>
        <v>0</v>
      </c>
      <c r="M42" s="42">
        <f t="shared" si="5"/>
        <v>0</v>
      </c>
      <c r="N42" s="43" t="s">
        <v>158</v>
      </c>
      <c r="O42" s="43" t="s">
        <v>158</v>
      </c>
      <c r="P42" s="43" t="s">
        <v>158</v>
      </c>
    </row>
    <row r="43" s="11" customFormat="1" spans="1:16">
      <c r="A43" s="32" t="s">
        <v>186</v>
      </c>
      <c r="B43" s="28" t="s">
        <v>199</v>
      </c>
      <c r="C43" s="28" t="s">
        <v>200</v>
      </c>
      <c r="D43" s="33" t="str">
        <f>+IFERROR(VLOOKUP(C43,Data,4,FALSE),"Not in data")</f>
        <v>Not in data</v>
      </c>
      <c r="E43" s="34" t="s">
        <v>149</v>
      </c>
      <c r="F43" s="30">
        <v>1</v>
      </c>
      <c r="G43" s="30">
        <v>1</v>
      </c>
      <c r="H43" s="31">
        <v>3.8</v>
      </c>
      <c r="I43" s="40">
        <f t="shared" si="3"/>
        <v>3.8</v>
      </c>
      <c r="J43" s="31" t="str">
        <f>+IFERROR(VLOOKUP(C43,Data,2,FALSE),"Not in weight table")</f>
        <v>Not in weight table</v>
      </c>
      <c r="K43" s="31" t="str">
        <f>+IFERROR(VLOOKUP(C43,Data,3,FALSE),"Not in weight table")</f>
        <v>Not in weight table</v>
      </c>
      <c r="L43" s="44">
        <f t="shared" si="4"/>
        <v>0</v>
      </c>
      <c r="M43" s="42">
        <f t="shared" si="5"/>
        <v>0</v>
      </c>
      <c r="N43" s="43" t="s">
        <v>158</v>
      </c>
      <c r="O43" s="43" t="s">
        <v>158</v>
      </c>
      <c r="P43" s="43" t="s">
        <v>158</v>
      </c>
    </row>
    <row r="44" s="11" customFormat="1" spans="1:16">
      <c r="A44" s="32" t="s">
        <v>186</v>
      </c>
      <c r="B44" s="28" t="s">
        <v>199</v>
      </c>
      <c r="C44" s="28" t="s">
        <v>200</v>
      </c>
      <c r="D44" s="33" t="str">
        <f>+IFERROR(VLOOKUP(C44,Data,4,FALSE),"Not in data")</f>
        <v>Not in data</v>
      </c>
      <c r="E44" s="34" t="s">
        <v>149</v>
      </c>
      <c r="F44" s="30">
        <v>1</v>
      </c>
      <c r="G44" s="30">
        <v>1</v>
      </c>
      <c r="H44" s="31">
        <v>2.3</v>
      </c>
      <c r="I44" s="40">
        <f t="shared" si="3"/>
        <v>2.3</v>
      </c>
      <c r="J44" s="31" t="str">
        <f>+IFERROR(VLOOKUP(C44,Data,2,FALSE),"Not in weight table")</f>
        <v>Not in weight table</v>
      </c>
      <c r="K44" s="31" t="str">
        <f>+IFERROR(VLOOKUP(C44,Data,3,FALSE),"Not in weight table")</f>
        <v>Not in weight table</v>
      </c>
      <c r="L44" s="44">
        <f t="shared" si="4"/>
        <v>0</v>
      </c>
      <c r="M44" s="42">
        <f t="shared" si="5"/>
        <v>0</v>
      </c>
      <c r="N44" s="43" t="s">
        <v>158</v>
      </c>
      <c r="O44" s="43" t="s">
        <v>158</v>
      </c>
      <c r="P44" s="43" t="s">
        <v>158</v>
      </c>
    </row>
    <row r="45" s="11" customFormat="1" spans="1:16">
      <c r="A45" s="32" t="s">
        <v>186</v>
      </c>
      <c r="B45" s="28" t="s">
        <v>201</v>
      </c>
      <c r="C45" s="28" t="s">
        <v>202</v>
      </c>
      <c r="D45" s="33" t="str">
        <f>+IFERROR(VLOOKUP(C45,Data,4,FALSE),"Not in data")</f>
        <v>T</v>
      </c>
      <c r="E45" s="34" t="s">
        <v>149</v>
      </c>
      <c r="F45" s="30">
        <v>1</v>
      </c>
      <c r="G45" s="30">
        <v>4</v>
      </c>
      <c r="H45" s="31">
        <v>3.5</v>
      </c>
      <c r="I45" s="40">
        <f t="shared" si="3"/>
        <v>14</v>
      </c>
      <c r="J45" s="31">
        <f>+IFERROR(VLOOKUP(C45,Data,2,FALSE),"Not in weight table")</f>
        <v>19.4</v>
      </c>
      <c r="K45" s="31">
        <f>+IFERROR(VLOOKUP(C45,Data,3,FALSE),"Not in weight table")</f>
        <v>0.529</v>
      </c>
      <c r="L45" s="44">
        <f t="shared" si="4"/>
        <v>0.2716</v>
      </c>
      <c r="M45" s="42">
        <f t="shared" si="5"/>
        <v>7.406</v>
      </c>
      <c r="N45" s="43" t="s">
        <v>158</v>
      </c>
      <c r="O45" s="43" t="s">
        <v>158</v>
      </c>
      <c r="P45" s="43" t="s">
        <v>158</v>
      </c>
    </row>
    <row r="46" s="11" customFormat="1" spans="1:16">
      <c r="A46" s="32" t="s">
        <v>186</v>
      </c>
      <c r="B46" s="28" t="s">
        <v>201</v>
      </c>
      <c r="C46" s="28" t="s">
        <v>202</v>
      </c>
      <c r="D46" s="33" t="str">
        <f>+IFERROR(VLOOKUP(C46,Data,4,FALSE),"Not in data")</f>
        <v>T</v>
      </c>
      <c r="E46" s="34" t="s">
        <v>149</v>
      </c>
      <c r="F46" s="30">
        <v>1</v>
      </c>
      <c r="G46" s="30">
        <v>2</v>
      </c>
      <c r="H46" s="31">
        <v>7.5</v>
      </c>
      <c r="I46" s="40">
        <f t="shared" si="3"/>
        <v>15</v>
      </c>
      <c r="J46" s="31">
        <f>+IFERROR(VLOOKUP(C46,Data,2,FALSE),"Not in weight table")</f>
        <v>19.4</v>
      </c>
      <c r="K46" s="31">
        <f>+IFERROR(VLOOKUP(C46,Data,3,FALSE),"Not in weight table")</f>
        <v>0.529</v>
      </c>
      <c r="L46" s="44">
        <f t="shared" si="4"/>
        <v>0.291</v>
      </c>
      <c r="M46" s="42">
        <f t="shared" si="5"/>
        <v>7.935</v>
      </c>
      <c r="N46" s="43" t="s">
        <v>158</v>
      </c>
      <c r="O46" s="43" t="s">
        <v>158</v>
      </c>
      <c r="P46" s="43" t="s">
        <v>158</v>
      </c>
    </row>
    <row r="47" s="11" customFormat="1" spans="1:16">
      <c r="A47" s="32" t="s">
        <v>186</v>
      </c>
      <c r="B47" s="28" t="s">
        <v>201</v>
      </c>
      <c r="C47" s="28" t="s">
        <v>202</v>
      </c>
      <c r="D47" s="33" t="str">
        <f>+IFERROR(VLOOKUP(C47,Data,4,FALSE),"Not in data")</f>
        <v>T</v>
      </c>
      <c r="E47" s="34" t="s">
        <v>149</v>
      </c>
      <c r="F47" s="30">
        <v>1</v>
      </c>
      <c r="G47" s="30">
        <v>1</v>
      </c>
      <c r="H47" s="31">
        <v>3.8</v>
      </c>
      <c r="I47" s="40">
        <f t="shared" si="3"/>
        <v>3.8</v>
      </c>
      <c r="J47" s="31">
        <f>+IFERROR(VLOOKUP(C47,Data,2,FALSE),"Not in weight table")</f>
        <v>19.4</v>
      </c>
      <c r="K47" s="31">
        <f>+IFERROR(VLOOKUP(C47,Data,3,FALSE),"Not in weight table")</f>
        <v>0.529</v>
      </c>
      <c r="L47" s="44">
        <f t="shared" si="4"/>
        <v>0.07372</v>
      </c>
      <c r="M47" s="42">
        <f t="shared" si="5"/>
        <v>2.0102</v>
      </c>
      <c r="N47" s="43" t="s">
        <v>158</v>
      </c>
      <c r="O47" s="43" t="s">
        <v>158</v>
      </c>
      <c r="P47" s="43" t="s">
        <v>158</v>
      </c>
    </row>
    <row r="48" s="11" customFormat="1" spans="1:16">
      <c r="A48" s="32" t="s">
        <v>186</v>
      </c>
      <c r="B48" s="28" t="s">
        <v>201</v>
      </c>
      <c r="C48" s="28" t="s">
        <v>202</v>
      </c>
      <c r="D48" s="33" t="str">
        <f>+IFERROR(VLOOKUP(C48,Data,4,FALSE),"Not in data")</f>
        <v>T</v>
      </c>
      <c r="E48" s="34" t="s">
        <v>149</v>
      </c>
      <c r="F48" s="30">
        <v>1</v>
      </c>
      <c r="G48" s="30">
        <v>1</v>
      </c>
      <c r="H48" s="31">
        <v>2.3</v>
      </c>
      <c r="I48" s="40">
        <f t="shared" si="3"/>
        <v>2.3</v>
      </c>
      <c r="J48" s="31">
        <f>+IFERROR(VLOOKUP(C48,Data,2,FALSE),"Not in weight table")</f>
        <v>19.4</v>
      </c>
      <c r="K48" s="31">
        <f>+IFERROR(VLOOKUP(C48,Data,3,FALSE),"Not in weight table")</f>
        <v>0.529</v>
      </c>
      <c r="L48" s="44">
        <f t="shared" si="4"/>
        <v>0.04462</v>
      </c>
      <c r="M48" s="42">
        <f t="shared" si="5"/>
        <v>1.2167</v>
      </c>
      <c r="N48" s="43" t="s">
        <v>158</v>
      </c>
      <c r="O48" s="43" t="s">
        <v>158</v>
      </c>
      <c r="P48" s="43" t="s">
        <v>158</v>
      </c>
    </row>
    <row r="49" s="11" customFormat="1" spans="1:16">
      <c r="A49" s="32" t="s">
        <v>186</v>
      </c>
      <c r="B49" s="28" t="s">
        <v>201</v>
      </c>
      <c r="C49" s="28" t="s">
        <v>202</v>
      </c>
      <c r="D49" s="33" t="str">
        <f>+IFERROR(VLOOKUP(C49,Data,4,FALSE),"Not in data")</f>
        <v>T</v>
      </c>
      <c r="E49" s="34" t="s">
        <v>149</v>
      </c>
      <c r="F49" s="30">
        <v>1</v>
      </c>
      <c r="G49" s="30">
        <v>1</v>
      </c>
      <c r="H49" s="31">
        <v>8</v>
      </c>
      <c r="I49" s="40">
        <f t="shared" ref="I49:I54" si="6">+IF(F49&lt;&gt;"",F49*G49*H49,0)</f>
        <v>8</v>
      </c>
      <c r="J49" s="31">
        <f>+IFERROR(VLOOKUP(C49,Data,2,FALSE),"Not in weight table")</f>
        <v>19.4</v>
      </c>
      <c r="K49" s="31">
        <f>+IFERROR(VLOOKUP(C49,Data,3,FALSE),"Not in weight table")</f>
        <v>0.529</v>
      </c>
      <c r="L49" s="44">
        <f t="shared" ref="L49:L54" si="7">+IF(ISNUMBER(J49),I49*J49/1000,0)</f>
        <v>0.1552</v>
      </c>
      <c r="M49" s="42">
        <f t="shared" ref="M49:M54" si="8">+IF(ISNUMBER(K49),I49*K49,0)</f>
        <v>4.232</v>
      </c>
      <c r="N49" s="43" t="s">
        <v>158</v>
      </c>
      <c r="O49" s="43" t="s">
        <v>158</v>
      </c>
      <c r="P49" s="43" t="s">
        <v>158</v>
      </c>
    </row>
    <row r="50" s="11" customFormat="1" spans="1:16">
      <c r="A50" s="32" t="s">
        <v>186</v>
      </c>
      <c r="B50" s="28" t="s">
        <v>203</v>
      </c>
      <c r="C50" s="28" t="s">
        <v>204</v>
      </c>
      <c r="D50" s="33" t="str">
        <f>+IFERROR(VLOOKUP(C50,Data,4,FALSE),"Not in data")</f>
        <v>S</v>
      </c>
      <c r="E50" s="34" t="s">
        <v>149</v>
      </c>
      <c r="F50" s="30">
        <v>1</v>
      </c>
      <c r="G50" s="30">
        <v>1</v>
      </c>
      <c r="H50" s="31">
        <v>3.8</v>
      </c>
      <c r="I50" s="40">
        <f t="shared" si="6"/>
        <v>3.8</v>
      </c>
      <c r="J50" s="31">
        <f>+IFERROR(VLOOKUP(C50,Data,2,FALSE),"Not in weight table")</f>
        <v>32</v>
      </c>
      <c r="K50" s="31">
        <f>+IFERROR(VLOOKUP(C50,Data,3,FALSE),"Not in weight table")</f>
        <v>1.16</v>
      </c>
      <c r="L50" s="44">
        <f t="shared" si="7"/>
        <v>0.1216</v>
      </c>
      <c r="M50" s="42">
        <f t="shared" si="8"/>
        <v>4.408</v>
      </c>
      <c r="N50" s="43" t="s">
        <v>158</v>
      </c>
      <c r="O50" s="43" t="s">
        <v>158</v>
      </c>
      <c r="P50" s="43" t="s">
        <v>158</v>
      </c>
    </row>
    <row r="51" s="11" customFormat="1" spans="1:16">
      <c r="A51" s="32" t="s">
        <v>186</v>
      </c>
      <c r="B51" s="28" t="s">
        <v>203</v>
      </c>
      <c r="C51" s="28" t="s">
        <v>204</v>
      </c>
      <c r="D51" s="33" t="str">
        <f>+IFERROR(VLOOKUP(C51,Data,4,FALSE),"Not in data")</f>
        <v>S</v>
      </c>
      <c r="E51" s="34" t="s">
        <v>149</v>
      </c>
      <c r="F51" s="30">
        <v>1</v>
      </c>
      <c r="G51" s="30">
        <v>1</v>
      </c>
      <c r="H51" s="31">
        <v>4.72</v>
      </c>
      <c r="I51" s="40">
        <f t="shared" si="6"/>
        <v>4.72</v>
      </c>
      <c r="J51" s="31">
        <f>+IFERROR(VLOOKUP(C51,Data,2,FALSE),"Not in weight table")</f>
        <v>32</v>
      </c>
      <c r="K51" s="31">
        <f>+IFERROR(VLOOKUP(C51,Data,3,FALSE),"Not in weight table")</f>
        <v>1.16</v>
      </c>
      <c r="L51" s="44">
        <f t="shared" si="7"/>
        <v>0.15104</v>
      </c>
      <c r="M51" s="42">
        <f t="shared" si="8"/>
        <v>5.4752</v>
      </c>
      <c r="N51" s="43" t="s">
        <v>158</v>
      </c>
      <c r="O51" s="43" t="s">
        <v>158</v>
      </c>
      <c r="P51" s="43" t="s">
        <v>158</v>
      </c>
    </row>
    <row r="52" s="11" customFormat="1" spans="1:16">
      <c r="A52" s="32" t="s">
        <v>186</v>
      </c>
      <c r="B52" s="28" t="s">
        <v>203</v>
      </c>
      <c r="C52" s="28" t="s">
        <v>204</v>
      </c>
      <c r="D52" s="33" t="str">
        <f>+IFERROR(VLOOKUP(C52,Data,4,FALSE),"Not in data")</f>
        <v>S</v>
      </c>
      <c r="E52" s="34" t="s">
        <v>149</v>
      </c>
      <c r="F52" s="30">
        <v>1</v>
      </c>
      <c r="G52" s="30">
        <v>1</v>
      </c>
      <c r="H52" s="31">
        <v>3.6</v>
      </c>
      <c r="I52" s="40">
        <f t="shared" si="6"/>
        <v>3.6</v>
      </c>
      <c r="J52" s="31">
        <f>+IFERROR(VLOOKUP(C52,Data,2,FALSE),"Not in weight table")</f>
        <v>32</v>
      </c>
      <c r="K52" s="31">
        <f>+IFERROR(VLOOKUP(C52,Data,3,FALSE),"Not in weight table")</f>
        <v>1.16</v>
      </c>
      <c r="L52" s="44">
        <f t="shared" si="7"/>
        <v>0.1152</v>
      </c>
      <c r="M52" s="42">
        <f t="shared" si="8"/>
        <v>4.176</v>
      </c>
      <c r="N52" s="43" t="s">
        <v>158</v>
      </c>
      <c r="O52" s="43" t="s">
        <v>158</v>
      </c>
      <c r="P52" s="43" t="s">
        <v>158</v>
      </c>
    </row>
    <row r="53" s="11" customFormat="1" spans="1:16">
      <c r="A53" s="32" t="s">
        <v>186</v>
      </c>
      <c r="B53" s="28" t="s">
        <v>203</v>
      </c>
      <c r="C53" s="28" t="s">
        <v>204</v>
      </c>
      <c r="D53" s="33" t="str">
        <f>+IFERROR(VLOOKUP(C53,Data,4,FALSE),"Not in data")</f>
        <v>S</v>
      </c>
      <c r="E53" s="34" t="s">
        <v>149</v>
      </c>
      <c r="F53" s="30">
        <v>1</v>
      </c>
      <c r="G53" s="30">
        <v>1</v>
      </c>
      <c r="H53" s="31">
        <v>7.7</v>
      </c>
      <c r="I53" s="40">
        <f t="shared" si="6"/>
        <v>7.7</v>
      </c>
      <c r="J53" s="31">
        <f>+IFERROR(VLOOKUP(C53,Data,2,FALSE),"Not in weight table")</f>
        <v>32</v>
      </c>
      <c r="K53" s="31">
        <f>+IFERROR(VLOOKUP(C53,Data,3,FALSE),"Not in weight table")</f>
        <v>1.16</v>
      </c>
      <c r="L53" s="44">
        <f t="shared" si="7"/>
        <v>0.2464</v>
      </c>
      <c r="M53" s="42">
        <f t="shared" si="8"/>
        <v>8.932</v>
      </c>
      <c r="N53" s="43" t="s">
        <v>158</v>
      </c>
      <c r="O53" s="43" t="s">
        <v>158</v>
      </c>
      <c r="P53" s="43" t="s">
        <v>158</v>
      </c>
    </row>
    <row r="54" s="11" customFormat="1" spans="1:16">
      <c r="A54" s="32" t="s">
        <v>186</v>
      </c>
      <c r="B54" s="28" t="s">
        <v>203</v>
      </c>
      <c r="C54" s="28" t="s">
        <v>204</v>
      </c>
      <c r="D54" s="33" t="str">
        <f>+IFERROR(VLOOKUP(C54,Data,4,FALSE),"Not in data")</f>
        <v>S</v>
      </c>
      <c r="E54" s="34" t="s">
        <v>149</v>
      </c>
      <c r="F54" s="30">
        <v>1</v>
      </c>
      <c r="G54" s="30">
        <v>1</v>
      </c>
      <c r="H54" s="31">
        <v>2.9</v>
      </c>
      <c r="I54" s="40">
        <f t="shared" si="6"/>
        <v>2.9</v>
      </c>
      <c r="J54" s="31">
        <f>+IFERROR(VLOOKUP(C54,Data,2,FALSE),"Not in weight table")</f>
        <v>32</v>
      </c>
      <c r="K54" s="31">
        <f>+IFERROR(VLOOKUP(C54,Data,3,FALSE),"Not in weight table")</f>
        <v>1.16</v>
      </c>
      <c r="L54" s="44">
        <f t="shared" si="7"/>
        <v>0.0928</v>
      </c>
      <c r="M54" s="42">
        <f t="shared" si="8"/>
        <v>3.364</v>
      </c>
      <c r="N54" s="43" t="s">
        <v>158</v>
      </c>
      <c r="O54" s="43" t="s">
        <v>158</v>
      </c>
      <c r="P54" s="43" t="s">
        <v>158</v>
      </c>
    </row>
    <row r="55" s="11" customFormat="1" spans="1:16">
      <c r="A55" s="32" t="s">
        <v>183</v>
      </c>
      <c r="B55" s="28" t="s">
        <v>187</v>
      </c>
      <c r="C55" s="28" t="s">
        <v>185</v>
      </c>
      <c r="D55" s="33" t="str">
        <f>+IFERROR(VLOOKUP(C55,Data,4,FALSE),"Not in data")</f>
        <v>Not in data</v>
      </c>
      <c r="E55" s="34" t="s">
        <v>149</v>
      </c>
      <c r="F55" s="30">
        <v>1</v>
      </c>
      <c r="G55" s="30">
        <v>21</v>
      </c>
      <c r="H55" s="31">
        <v>3.51</v>
      </c>
      <c r="I55" s="40">
        <f t="shared" ref="I55:I67" si="9">+IF(F55&lt;&gt;"",F55*G55*H55,0)</f>
        <v>73.71</v>
      </c>
      <c r="J55" s="31" t="str">
        <f>+IFERROR(VLOOKUP(C55,Data,2,FALSE),"Not in weight table")</f>
        <v>Not in weight table</v>
      </c>
      <c r="K55" s="31" t="str">
        <f>+IFERROR(VLOOKUP(C55,Data,3,FALSE),"Not in weight table")</f>
        <v>Not in weight table</v>
      </c>
      <c r="L55" s="44">
        <f t="shared" ref="L55:L67" si="10">+IF(ISNUMBER(J55),I55*J55/1000,0)</f>
        <v>0</v>
      </c>
      <c r="M55" s="42">
        <f t="shared" ref="M55:M67" si="11">+IF(ISNUMBER(K55),I55*K55,0)</f>
        <v>0</v>
      </c>
      <c r="N55" s="43" t="s">
        <v>158</v>
      </c>
      <c r="O55" s="43" t="s">
        <v>158</v>
      </c>
      <c r="P55" s="43" t="s">
        <v>158</v>
      </c>
    </row>
    <row r="56" s="11" customFormat="1" spans="1:16">
      <c r="A56" s="32" t="s">
        <v>183</v>
      </c>
      <c r="B56" s="28" t="s">
        <v>187</v>
      </c>
      <c r="C56" s="28" t="s">
        <v>185</v>
      </c>
      <c r="D56" s="33" t="str">
        <f>+IFERROR(VLOOKUP(C56,Data,4,FALSE),"Not in data")</f>
        <v>Not in data</v>
      </c>
      <c r="E56" s="34" t="s">
        <v>149</v>
      </c>
      <c r="F56" s="30">
        <v>1</v>
      </c>
      <c r="G56" s="30">
        <v>22</v>
      </c>
      <c r="H56" s="31">
        <v>3.51</v>
      </c>
      <c r="I56" s="40">
        <f t="shared" si="9"/>
        <v>77.22</v>
      </c>
      <c r="J56" s="31" t="str">
        <f>+IFERROR(VLOOKUP(C56,Data,2,FALSE),"Not in weight table")</f>
        <v>Not in weight table</v>
      </c>
      <c r="K56" s="31" t="str">
        <f>+IFERROR(VLOOKUP(C56,Data,3,FALSE),"Not in weight table")</f>
        <v>Not in weight table</v>
      </c>
      <c r="L56" s="44">
        <f t="shared" si="10"/>
        <v>0</v>
      </c>
      <c r="M56" s="42">
        <f t="shared" si="11"/>
        <v>0</v>
      </c>
      <c r="N56" s="43" t="s">
        <v>158</v>
      </c>
      <c r="O56" s="43" t="s">
        <v>158</v>
      </c>
      <c r="P56" s="43" t="s">
        <v>158</v>
      </c>
    </row>
    <row r="57" s="11" customFormat="1" spans="1:16">
      <c r="A57" s="32" t="s">
        <v>183</v>
      </c>
      <c r="B57" s="28" t="s">
        <v>195</v>
      </c>
      <c r="C57" s="28" t="s">
        <v>192</v>
      </c>
      <c r="D57" s="33" t="str">
        <f>+IFERROR(VLOOKUP(C57,Data,4,FALSE),"Not in data")</f>
        <v>T</v>
      </c>
      <c r="E57" s="34" t="s">
        <v>149</v>
      </c>
      <c r="F57" s="30">
        <v>1</v>
      </c>
      <c r="G57" s="30">
        <v>2</v>
      </c>
      <c r="H57" s="31">
        <v>3.8</v>
      </c>
      <c r="I57" s="40">
        <f t="shared" si="9"/>
        <v>7.6</v>
      </c>
      <c r="J57" s="31">
        <f>+IFERROR(VLOOKUP(C57,Data,2,FALSE),"Not in weight table")</f>
        <v>14.6</v>
      </c>
      <c r="K57" s="31">
        <f>+IFERROR(VLOOKUP(C57,Data,3,FALSE),"Not in weight table")</f>
        <v>0.33</v>
      </c>
      <c r="L57" s="44">
        <f t="shared" si="10"/>
        <v>0.11096</v>
      </c>
      <c r="M57" s="42">
        <f t="shared" si="11"/>
        <v>2.508</v>
      </c>
      <c r="N57" s="43" t="s">
        <v>158</v>
      </c>
      <c r="O57" s="43" t="s">
        <v>158</v>
      </c>
      <c r="P57" s="43" t="s">
        <v>158</v>
      </c>
    </row>
    <row r="58" s="11" customFormat="1" spans="1:16">
      <c r="A58" s="32" t="s">
        <v>183</v>
      </c>
      <c r="B58" s="28" t="s">
        <v>191</v>
      </c>
      <c r="C58" s="28" t="s">
        <v>192</v>
      </c>
      <c r="D58" s="33" t="str">
        <f>+IFERROR(VLOOKUP(C58,Data,4,FALSE),"Not in data")</f>
        <v>T</v>
      </c>
      <c r="E58" s="34" t="s">
        <v>149</v>
      </c>
      <c r="F58" s="30">
        <v>1</v>
      </c>
      <c r="G58" s="30">
        <v>21</v>
      </c>
      <c r="H58" s="31">
        <v>3.51</v>
      </c>
      <c r="I58" s="40">
        <f t="shared" si="9"/>
        <v>73.71</v>
      </c>
      <c r="J58" s="31">
        <f>+IFERROR(VLOOKUP(C58,Data,2,FALSE),"Not in weight table")</f>
        <v>14.6</v>
      </c>
      <c r="K58" s="31">
        <f>+IFERROR(VLOOKUP(C58,Data,3,FALSE),"Not in weight table")</f>
        <v>0.33</v>
      </c>
      <c r="L58" s="44">
        <f t="shared" si="10"/>
        <v>1.076166</v>
      </c>
      <c r="M58" s="42">
        <f t="shared" si="11"/>
        <v>24.3243</v>
      </c>
      <c r="N58" s="43" t="s">
        <v>158</v>
      </c>
      <c r="O58" s="43" t="s">
        <v>158</v>
      </c>
      <c r="P58" s="43" t="s">
        <v>158</v>
      </c>
    </row>
    <row r="59" s="11" customFormat="1" spans="1:16">
      <c r="A59" s="32" t="s">
        <v>183</v>
      </c>
      <c r="B59" s="28" t="s">
        <v>191</v>
      </c>
      <c r="C59" s="28" t="s">
        <v>192</v>
      </c>
      <c r="D59" s="33" t="str">
        <f>+IFERROR(VLOOKUP(C59,Data,4,FALSE),"Not in data")</f>
        <v>T</v>
      </c>
      <c r="E59" s="34" t="s">
        <v>149</v>
      </c>
      <c r="F59" s="30">
        <v>1</v>
      </c>
      <c r="G59" s="30">
        <v>2</v>
      </c>
      <c r="H59" s="31">
        <v>3</v>
      </c>
      <c r="I59" s="40">
        <f t="shared" si="9"/>
        <v>6</v>
      </c>
      <c r="J59" s="31">
        <f>+IFERROR(VLOOKUP(C59,Data,2,FALSE),"Not in weight table")</f>
        <v>14.6</v>
      </c>
      <c r="K59" s="31">
        <f>+IFERROR(VLOOKUP(C59,Data,3,FALSE),"Not in weight table")</f>
        <v>0.33</v>
      </c>
      <c r="L59" s="44">
        <f t="shared" si="10"/>
        <v>0.0876</v>
      </c>
      <c r="M59" s="42">
        <f t="shared" si="11"/>
        <v>1.98</v>
      </c>
      <c r="N59" s="43" t="s">
        <v>158</v>
      </c>
      <c r="O59" s="43" t="s">
        <v>158</v>
      </c>
      <c r="P59" s="43" t="s">
        <v>158</v>
      </c>
    </row>
    <row r="60" s="11" customFormat="1" spans="1:16">
      <c r="A60" s="32" t="s">
        <v>183</v>
      </c>
      <c r="B60" s="28" t="s">
        <v>193</v>
      </c>
      <c r="C60" s="28" t="s">
        <v>194</v>
      </c>
      <c r="D60" s="33" t="str">
        <f>+IFERROR(VLOOKUP(C60,Data,4,FALSE),"Not in data")</f>
        <v>T</v>
      </c>
      <c r="E60" s="34" t="s">
        <v>149</v>
      </c>
      <c r="F60" s="30">
        <v>1</v>
      </c>
      <c r="G60" s="30">
        <v>2</v>
      </c>
      <c r="H60" s="31">
        <v>3.5</v>
      </c>
      <c r="I60" s="40">
        <f t="shared" si="9"/>
        <v>7</v>
      </c>
      <c r="J60" s="31">
        <f>+IFERROR(VLOOKUP(C60,Data,2,FALSE),"Not in weight table")</f>
        <v>17.9</v>
      </c>
      <c r="K60" s="31">
        <f>+IFERROR(VLOOKUP(C60,Data,3,FALSE),"Not in weight table")</f>
        <v>0.583</v>
      </c>
      <c r="L60" s="44">
        <f t="shared" si="10"/>
        <v>0.1253</v>
      </c>
      <c r="M60" s="42">
        <f t="shared" si="11"/>
        <v>4.081</v>
      </c>
      <c r="N60" s="43" t="s">
        <v>158</v>
      </c>
      <c r="O60" s="43" t="s">
        <v>158</v>
      </c>
      <c r="P60" s="43" t="s">
        <v>158</v>
      </c>
    </row>
    <row r="61" s="11" customFormat="1" spans="1:16">
      <c r="A61" s="32" t="s">
        <v>183</v>
      </c>
      <c r="B61" s="28" t="s">
        <v>193</v>
      </c>
      <c r="C61" s="28" t="s">
        <v>194</v>
      </c>
      <c r="D61" s="33" t="str">
        <f>+IFERROR(VLOOKUP(C61,Data,4,FALSE),"Not in data")</f>
        <v>T</v>
      </c>
      <c r="E61" s="34" t="s">
        <v>149</v>
      </c>
      <c r="F61" s="30">
        <v>1</v>
      </c>
      <c r="G61" s="30">
        <v>2</v>
      </c>
      <c r="H61" s="31">
        <v>7.6</v>
      </c>
      <c r="I61" s="40">
        <f t="shared" si="9"/>
        <v>15.2</v>
      </c>
      <c r="J61" s="31">
        <f>+IFERROR(VLOOKUP(C61,Data,2,FALSE),"Not in weight table")</f>
        <v>17.9</v>
      </c>
      <c r="K61" s="31">
        <f>+IFERROR(VLOOKUP(C61,Data,3,FALSE),"Not in weight table")</f>
        <v>0.583</v>
      </c>
      <c r="L61" s="44">
        <f t="shared" si="10"/>
        <v>0.27208</v>
      </c>
      <c r="M61" s="42">
        <f t="shared" si="11"/>
        <v>8.8616</v>
      </c>
      <c r="N61" s="43" t="s">
        <v>158</v>
      </c>
      <c r="O61" s="43" t="s">
        <v>158</v>
      </c>
      <c r="P61" s="43" t="s">
        <v>158</v>
      </c>
    </row>
    <row r="62" s="11" customFormat="1" spans="1:16">
      <c r="A62" s="32" t="s">
        <v>183</v>
      </c>
      <c r="B62" s="28" t="s">
        <v>193</v>
      </c>
      <c r="C62" s="28" t="s">
        <v>194</v>
      </c>
      <c r="D62" s="33" t="str">
        <f>+IFERROR(VLOOKUP(C62,Data,4,FALSE),"Not in data")</f>
        <v>T</v>
      </c>
      <c r="E62" s="34" t="s">
        <v>149</v>
      </c>
      <c r="F62" s="30">
        <v>1</v>
      </c>
      <c r="G62" s="30">
        <v>1</v>
      </c>
      <c r="H62" s="31">
        <v>3.8</v>
      </c>
      <c r="I62" s="40">
        <f t="shared" si="9"/>
        <v>3.8</v>
      </c>
      <c r="J62" s="31">
        <f>+IFERROR(VLOOKUP(C62,Data,2,FALSE),"Not in weight table")</f>
        <v>17.9</v>
      </c>
      <c r="K62" s="31">
        <f>+IFERROR(VLOOKUP(C62,Data,3,FALSE),"Not in weight table")</f>
        <v>0.583</v>
      </c>
      <c r="L62" s="44">
        <f t="shared" si="10"/>
        <v>0.06802</v>
      </c>
      <c r="M62" s="42">
        <f t="shared" si="11"/>
        <v>2.2154</v>
      </c>
      <c r="N62" s="43" t="s">
        <v>158</v>
      </c>
      <c r="O62" s="43" t="s">
        <v>158</v>
      </c>
      <c r="P62" s="43" t="s">
        <v>158</v>
      </c>
    </row>
    <row r="63" s="11" customFormat="1" spans="1:16">
      <c r="A63" s="32" t="s">
        <v>183</v>
      </c>
      <c r="B63" s="28" t="s">
        <v>193</v>
      </c>
      <c r="C63" s="28" t="s">
        <v>194</v>
      </c>
      <c r="D63" s="33" t="str">
        <f>+IFERROR(VLOOKUP(C63,Data,4,FALSE),"Not in data")</f>
        <v>T</v>
      </c>
      <c r="E63" s="34" t="s">
        <v>149</v>
      </c>
      <c r="F63" s="30">
        <v>1</v>
      </c>
      <c r="G63" s="30">
        <v>1</v>
      </c>
      <c r="H63" s="31">
        <v>3.6</v>
      </c>
      <c r="I63" s="40">
        <f t="shared" si="9"/>
        <v>3.6</v>
      </c>
      <c r="J63" s="31">
        <f>+IFERROR(VLOOKUP(C63,Data,2,FALSE),"Not in weight table")</f>
        <v>17.9</v>
      </c>
      <c r="K63" s="31">
        <f>+IFERROR(VLOOKUP(C63,Data,3,FALSE),"Not in weight table")</f>
        <v>0.583</v>
      </c>
      <c r="L63" s="44">
        <f t="shared" si="10"/>
        <v>0.06444</v>
      </c>
      <c r="M63" s="42">
        <f t="shared" si="11"/>
        <v>2.0988</v>
      </c>
      <c r="N63" s="43" t="s">
        <v>158</v>
      </c>
      <c r="O63" s="43" t="s">
        <v>158</v>
      </c>
      <c r="P63" s="43" t="s">
        <v>158</v>
      </c>
    </row>
    <row r="64" s="11" customFormat="1" spans="1:16">
      <c r="A64" s="32" t="s">
        <v>186</v>
      </c>
      <c r="B64" s="28" t="s">
        <v>205</v>
      </c>
      <c r="C64" s="28" t="s">
        <v>189</v>
      </c>
      <c r="D64" s="33" t="str">
        <f>+IFERROR(VLOOKUP(C64,Data,4,FALSE),"Not in data")</f>
        <v>S</v>
      </c>
      <c r="E64" s="34" t="s">
        <v>149</v>
      </c>
      <c r="F64" s="30">
        <v>1</v>
      </c>
      <c r="G64" s="30">
        <v>1</v>
      </c>
      <c r="H64" s="31">
        <v>3.4</v>
      </c>
      <c r="I64" s="40">
        <f t="shared" si="9"/>
        <v>3.4</v>
      </c>
      <c r="J64" s="31">
        <f>+IFERROR(VLOOKUP(C64,Data,2,FALSE),"Not in weight table")</f>
        <v>22.9</v>
      </c>
      <c r="K64" s="31">
        <f>+IFERROR(VLOOKUP(C64,Data,3,FALSE),"Not in weight table")</f>
        <v>0.668</v>
      </c>
      <c r="L64" s="44">
        <f t="shared" si="10"/>
        <v>0.07786</v>
      </c>
      <c r="M64" s="42">
        <f t="shared" si="11"/>
        <v>2.2712</v>
      </c>
      <c r="N64" s="43" t="s">
        <v>158</v>
      </c>
      <c r="O64" s="43" t="s">
        <v>158</v>
      </c>
      <c r="P64" s="43" t="s">
        <v>158</v>
      </c>
    </row>
    <row r="65" s="11" customFormat="1" spans="1:16">
      <c r="A65" s="32" t="s">
        <v>186</v>
      </c>
      <c r="B65" s="28" t="s">
        <v>205</v>
      </c>
      <c r="C65" s="28" t="s">
        <v>189</v>
      </c>
      <c r="D65" s="33" t="str">
        <f>+IFERROR(VLOOKUP(C65,Data,4,FALSE),"Not in data")</f>
        <v>S</v>
      </c>
      <c r="E65" s="34" t="s">
        <v>149</v>
      </c>
      <c r="F65" s="30">
        <v>1</v>
      </c>
      <c r="G65" s="30">
        <v>1</v>
      </c>
      <c r="H65" s="31">
        <v>4.3</v>
      </c>
      <c r="I65" s="40">
        <f t="shared" si="9"/>
        <v>4.3</v>
      </c>
      <c r="J65" s="31">
        <f>+IFERROR(VLOOKUP(C65,Data,2,FALSE),"Not in weight table")</f>
        <v>22.9</v>
      </c>
      <c r="K65" s="31">
        <f>+IFERROR(VLOOKUP(C65,Data,3,FALSE),"Not in weight table")</f>
        <v>0.668</v>
      </c>
      <c r="L65" s="44">
        <f t="shared" si="10"/>
        <v>0.09847</v>
      </c>
      <c r="M65" s="42">
        <f t="shared" si="11"/>
        <v>2.8724</v>
      </c>
      <c r="N65" s="43" t="s">
        <v>158</v>
      </c>
      <c r="O65" s="43" t="s">
        <v>158</v>
      </c>
      <c r="P65" s="43" t="s">
        <v>158</v>
      </c>
    </row>
    <row r="66" s="11" customFormat="1" spans="1:16">
      <c r="A66" s="32" t="s">
        <v>186</v>
      </c>
      <c r="B66" s="28" t="s">
        <v>205</v>
      </c>
      <c r="C66" s="28" t="s">
        <v>189</v>
      </c>
      <c r="D66" s="33" t="str">
        <f>+IFERROR(VLOOKUP(C66,Data,4,FALSE),"Not in data")</f>
        <v>S</v>
      </c>
      <c r="E66" s="34" t="s">
        <v>149</v>
      </c>
      <c r="F66" s="30">
        <v>1</v>
      </c>
      <c r="G66" s="30">
        <v>1</v>
      </c>
      <c r="H66" s="31">
        <v>5.3</v>
      </c>
      <c r="I66" s="40">
        <f t="shared" si="9"/>
        <v>5.3</v>
      </c>
      <c r="J66" s="31">
        <f>+IFERROR(VLOOKUP(C66,Data,2,FALSE),"Not in weight table")</f>
        <v>22.9</v>
      </c>
      <c r="K66" s="31">
        <f>+IFERROR(VLOOKUP(C66,Data,3,FALSE),"Not in weight table")</f>
        <v>0.668</v>
      </c>
      <c r="L66" s="44">
        <f t="shared" si="10"/>
        <v>0.12137</v>
      </c>
      <c r="M66" s="42">
        <f t="shared" si="11"/>
        <v>3.5404</v>
      </c>
      <c r="N66" s="43" t="s">
        <v>158</v>
      </c>
      <c r="O66" s="43" t="s">
        <v>158</v>
      </c>
      <c r="P66" s="43" t="s">
        <v>158</v>
      </c>
    </row>
    <row r="67" s="11" customFormat="1" spans="1:16">
      <c r="A67" s="32" t="s">
        <v>186</v>
      </c>
      <c r="B67" s="28" t="s">
        <v>205</v>
      </c>
      <c r="C67" s="28" t="s">
        <v>189</v>
      </c>
      <c r="D67" s="33" t="str">
        <f>+IFERROR(VLOOKUP(C67,Data,4,FALSE),"Not in data")</f>
        <v>S</v>
      </c>
      <c r="E67" s="34" t="s">
        <v>149</v>
      </c>
      <c r="F67" s="30">
        <v>1</v>
      </c>
      <c r="G67" s="30">
        <v>1</v>
      </c>
      <c r="H67" s="31">
        <v>6</v>
      </c>
      <c r="I67" s="40">
        <f t="shared" si="9"/>
        <v>6</v>
      </c>
      <c r="J67" s="31">
        <f>+IFERROR(VLOOKUP(C67,Data,2,FALSE),"Not in weight table")</f>
        <v>22.9</v>
      </c>
      <c r="K67" s="31">
        <f>+IFERROR(VLOOKUP(C67,Data,3,FALSE),"Not in weight table")</f>
        <v>0.668</v>
      </c>
      <c r="L67" s="44">
        <f t="shared" si="10"/>
        <v>0.1374</v>
      </c>
      <c r="M67" s="42">
        <f t="shared" si="11"/>
        <v>4.008</v>
      </c>
      <c r="N67" s="43" t="s">
        <v>158</v>
      </c>
      <c r="O67" s="43" t="s">
        <v>158</v>
      </c>
      <c r="P67" s="43" t="s">
        <v>158</v>
      </c>
    </row>
    <row r="68" s="11" customFormat="1" spans="1:16">
      <c r="A68" s="32" t="s">
        <v>186</v>
      </c>
      <c r="B68" s="28" t="s">
        <v>206</v>
      </c>
      <c r="C68" s="28" t="s">
        <v>207</v>
      </c>
      <c r="D68" s="33" t="str">
        <f>+IFERROR(VLOOKUP(C68,Data,4,FALSE),"Not in data")</f>
        <v>S</v>
      </c>
      <c r="E68" s="34" t="s">
        <v>149</v>
      </c>
      <c r="F68" s="30">
        <v>1</v>
      </c>
      <c r="G68" s="30">
        <v>1</v>
      </c>
      <c r="H68" s="31">
        <v>5</v>
      </c>
      <c r="I68" s="40">
        <f t="shared" ref="I68:I92" si="12">+IF(F68&lt;&gt;"",F68*G68*H68,0)</f>
        <v>5</v>
      </c>
      <c r="J68" s="31">
        <f>+IFERROR(VLOOKUP(C68,Data,2,FALSE),"Not in weight table")</f>
        <v>4.56</v>
      </c>
      <c r="K68" s="31">
        <f>+IFERROR(VLOOKUP(C68,Data,3,FALSE),"Not in weight table")</f>
        <v>0.255</v>
      </c>
      <c r="L68" s="44">
        <f t="shared" ref="L68:L92" si="13">+IF(ISNUMBER(J68),I68*J68/1000,0)</f>
        <v>0.0228</v>
      </c>
      <c r="M68" s="42">
        <f t="shared" ref="M68:M92" si="14">+IF(ISNUMBER(K68),I68*K68,0)</f>
        <v>1.275</v>
      </c>
      <c r="N68" s="43" t="s">
        <v>158</v>
      </c>
      <c r="O68" s="43" t="s">
        <v>158</v>
      </c>
      <c r="P68" s="43" t="s">
        <v>158</v>
      </c>
    </row>
    <row r="69" s="11" customFormat="1" spans="1:16">
      <c r="A69" s="32" t="s">
        <v>186</v>
      </c>
      <c r="B69" s="28" t="s">
        <v>206</v>
      </c>
      <c r="C69" s="28" t="s">
        <v>207</v>
      </c>
      <c r="D69" s="33" t="str">
        <f>+IFERROR(VLOOKUP(C69,Data,4,FALSE),"Not in data")</f>
        <v>S</v>
      </c>
      <c r="E69" s="34" t="s">
        <v>149</v>
      </c>
      <c r="F69" s="30">
        <v>1</v>
      </c>
      <c r="G69" s="30">
        <v>1</v>
      </c>
      <c r="H69" s="31">
        <v>3.6</v>
      </c>
      <c r="I69" s="40">
        <f t="shared" si="12"/>
        <v>3.6</v>
      </c>
      <c r="J69" s="31">
        <f>+IFERROR(VLOOKUP(C69,Data,2,FALSE),"Not in weight table")</f>
        <v>4.56</v>
      </c>
      <c r="K69" s="31">
        <f>+IFERROR(VLOOKUP(C69,Data,3,FALSE),"Not in weight table")</f>
        <v>0.255</v>
      </c>
      <c r="L69" s="44">
        <f t="shared" si="13"/>
        <v>0.016416</v>
      </c>
      <c r="M69" s="42">
        <f t="shared" si="14"/>
        <v>0.918</v>
      </c>
      <c r="N69" s="43" t="s">
        <v>158</v>
      </c>
      <c r="O69" s="43" t="s">
        <v>158</v>
      </c>
      <c r="P69" s="43" t="s">
        <v>158</v>
      </c>
    </row>
    <row r="70" s="11" customFormat="1" spans="1:16">
      <c r="A70" s="32" t="s">
        <v>186</v>
      </c>
      <c r="B70" s="28" t="s">
        <v>206</v>
      </c>
      <c r="C70" s="28" t="s">
        <v>207</v>
      </c>
      <c r="D70" s="33" t="str">
        <f>+IFERROR(VLOOKUP(C70,Data,4,FALSE),"Not in data")</f>
        <v>S</v>
      </c>
      <c r="E70" s="34" t="s">
        <v>149</v>
      </c>
      <c r="F70" s="30">
        <v>1</v>
      </c>
      <c r="G70" s="30">
        <v>1</v>
      </c>
      <c r="H70" s="31">
        <v>5.4</v>
      </c>
      <c r="I70" s="40">
        <f t="shared" si="12"/>
        <v>5.4</v>
      </c>
      <c r="J70" s="31">
        <f>+IFERROR(VLOOKUP(C70,Data,2,FALSE),"Not in weight table")</f>
        <v>4.56</v>
      </c>
      <c r="K70" s="31">
        <f>+IFERROR(VLOOKUP(C70,Data,3,FALSE),"Not in weight table")</f>
        <v>0.255</v>
      </c>
      <c r="L70" s="44">
        <f t="shared" si="13"/>
        <v>0.024624</v>
      </c>
      <c r="M70" s="42">
        <f t="shared" si="14"/>
        <v>1.377</v>
      </c>
      <c r="N70" s="43" t="s">
        <v>158</v>
      </c>
      <c r="O70" s="43" t="s">
        <v>158</v>
      </c>
      <c r="P70" s="43" t="s">
        <v>158</v>
      </c>
    </row>
    <row r="71" s="11" customFormat="1" spans="1:16">
      <c r="A71" s="32" t="s">
        <v>186</v>
      </c>
      <c r="B71" s="28" t="s">
        <v>206</v>
      </c>
      <c r="C71" s="28" t="s">
        <v>207</v>
      </c>
      <c r="D71" s="33" t="str">
        <f>+IFERROR(VLOOKUP(C71,Data,4,FALSE),"Not in data")</f>
        <v>S</v>
      </c>
      <c r="E71" s="34" t="s">
        <v>149</v>
      </c>
      <c r="F71" s="30">
        <v>1</v>
      </c>
      <c r="G71" s="30">
        <v>1</v>
      </c>
      <c r="H71" s="31">
        <v>5.5</v>
      </c>
      <c r="I71" s="40">
        <f t="shared" si="12"/>
        <v>5.5</v>
      </c>
      <c r="J71" s="31">
        <f>+IFERROR(VLOOKUP(C71,Data,2,FALSE),"Not in weight table")</f>
        <v>4.56</v>
      </c>
      <c r="K71" s="31">
        <f>+IFERROR(VLOOKUP(C71,Data,3,FALSE),"Not in weight table")</f>
        <v>0.255</v>
      </c>
      <c r="L71" s="44">
        <f t="shared" si="13"/>
        <v>0.02508</v>
      </c>
      <c r="M71" s="42">
        <f t="shared" si="14"/>
        <v>1.4025</v>
      </c>
      <c r="N71" s="43" t="s">
        <v>158</v>
      </c>
      <c r="O71" s="43" t="s">
        <v>158</v>
      </c>
      <c r="P71" s="43" t="s">
        <v>158</v>
      </c>
    </row>
    <row r="72" s="11" customFormat="1" spans="1:16">
      <c r="A72" s="32" t="s">
        <v>186</v>
      </c>
      <c r="B72" s="28" t="s">
        <v>206</v>
      </c>
      <c r="C72" s="28" t="s">
        <v>207</v>
      </c>
      <c r="D72" s="33" t="str">
        <f>+IFERROR(VLOOKUP(C72,Data,4,FALSE),"Not in data")</f>
        <v>S</v>
      </c>
      <c r="E72" s="34" t="s">
        <v>149</v>
      </c>
      <c r="F72" s="30">
        <v>1</v>
      </c>
      <c r="G72" s="30">
        <v>1</v>
      </c>
      <c r="H72" s="31">
        <v>6.7</v>
      </c>
      <c r="I72" s="40">
        <f t="shared" si="12"/>
        <v>6.7</v>
      </c>
      <c r="J72" s="31">
        <f>+IFERROR(VLOOKUP(C72,Data,2,FALSE),"Not in weight table")</f>
        <v>4.56</v>
      </c>
      <c r="K72" s="31">
        <f>+IFERROR(VLOOKUP(C72,Data,3,FALSE),"Not in weight table")</f>
        <v>0.255</v>
      </c>
      <c r="L72" s="44">
        <f t="shared" si="13"/>
        <v>0.030552</v>
      </c>
      <c r="M72" s="42">
        <f t="shared" si="14"/>
        <v>1.7085</v>
      </c>
      <c r="N72" s="43" t="s">
        <v>158</v>
      </c>
      <c r="O72" s="43" t="s">
        <v>158</v>
      </c>
      <c r="P72" s="43" t="s">
        <v>158</v>
      </c>
    </row>
    <row r="73" s="11" customFormat="1" spans="1:16">
      <c r="A73" s="32" t="s">
        <v>186</v>
      </c>
      <c r="B73" s="28" t="s">
        <v>206</v>
      </c>
      <c r="C73" s="28" t="s">
        <v>207</v>
      </c>
      <c r="D73" s="33" t="str">
        <f>+IFERROR(VLOOKUP(C73,Data,4,FALSE),"Not in data")</f>
        <v>S</v>
      </c>
      <c r="E73" s="34" t="s">
        <v>149</v>
      </c>
      <c r="F73" s="30">
        <v>1</v>
      </c>
      <c r="G73" s="30">
        <v>1</v>
      </c>
      <c r="H73" s="31">
        <v>7</v>
      </c>
      <c r="I73" s="40">
        <f t="shared" si="12"/>
        <v>7</v>
      </c>
      <c r="J73" s="31">
        <f>+IFERROR(VLOOKUP(C73,Data,2,FALSE),"Not in weight table")</f>
        <v>4.56</v>
      </c>
      <c r="K73" s="31">
        <f>+IFERROR(VLOOKUP(C73,Data,3,FALSE),"Not in weight table")</f>
        <v>0.255</v>
      </c>
      <c r="L73" s="44">
        <f t="shared" si="13"/>
        <v>0.03192</v>
      </c>
      <c r="M73" s="42">
        <f t="shared" si="14"/>
        <v>1.785</v>
      </c>
      <c r="N73" s="43" t="s">
        <v>158</v>
      </c>
      <c r="O73" s="43" t="s">
        <v>158</v>
      </c>
      <c r="P73" s="43" t="s">
        <v>158</v>
      </c>
    </row>
    <row r="74" s="11" customFormat="1" spans="1:16">
      <c r="A74" s="32" t="s">
        <v>186</v>
      </c>
      <c r="B74" s="28" t="s">
        <v>206</v>
      </c>
      <c r="C74" s="28" t="s">
        <v>207</v>
      </c>
      <c r="D74" s="33" t="str">
        <f>+IFERROR(VLOOKUP(C74,Data,4,FALSE),"Not in data")</f>
        <v>S</v>
      </c>
      <c r="E74" s="34" t="s">
        <v>149</v>
      </c>
      <c r="F74" s="30">
        <v>1</v>
      </c>
      <c r="G74" s="30">
        <v>1</v>
      </c>
      <c r="H74" s="31">
        <v>8</v>
      </c>
      <c r="I74" s="40">
        <f t="shared" si="12"/>
        <v>8</v>
      </c>
      <c r="J74" s="31">
        <f>+IFERROR(VLOOKUP(C74,Data,2,FALSE),"Not in weight table")</f>
        <v>4.56</v>
      </c>
      <c r="K74" s="31">
        <f>+IFERROR(VLOOKUP(C74,Data,3,FALSE),"Not in weight table")</f>
        <v>0.255</v>
      </c>
      <c r="L74" s="44">
        <f t="shared" si="13"/>
        <v>0.03648</v>
      </c>
      <c r="M74" s="42">
        <f t="shared" si="14"/>
        <v>2.04</v>
      </c>
      <c r="N74" s="43" t="s">
        <v>158</v>
      </c>
      <c r="O74" s="43" t="s">
        <v>158</v>
      </c>
      <c r="P74" s="43" t="s">
        <v>158</v>
      </c>
    </row>
    <row r="75" s="11" customFormat="1" spans="1:16">
      <c r="A75" s="32" t="s">
        <v>186</v>
      </c>
      <c r="B75" s="28" t="s">
        <v>206</v>
      </c>
      <c r="C75" s="28" t="s">
        <v>207</v>
      </c>
      <c r="D75" s="33" t="str">
        <f>+IFERROR(VLOOKUP(C75,Data,4,FALSE),"Not in data")</f>
        <v>S</v>
      </c>
      <c r="E75" s="34" t="s">
        <v>149</v>
      </c>
      <c r="F75" s="30">
        <v>1</v>
      </c>
      <c r="G75" s="30">
        <v>1</v>
      </c>
      <c r="H75" s="31">
        <v>8.1</v>
      </c>
      <c r="I75" s="40">
        <f t="shared" si="12"/>
        <v>8.1</v>
      </c>
      <c r="J75" s="31">
        <f>+IFERROR(VLOOKUP(C75,Data,2,FALSE),"Not in weight table")</f>
        <v>4.56</v>
      </c>
      <c r="K75" s="31">
        <f>+IFERROR(VLOOKUP(C75,Data,3,FALSE),"Not in weight table")</f>
        <v>0.255</v>
      </c>
      <c r="L75" s="44">
        <f t="shared" si="13"/>
        <v>0.036936</v>
      </c>
      <c r="M75" s="42">
        <f t="shared" si="14"/>
        <v>2.0655</v>
      </c>
      <c r="N75" s="43" t="s">
        <v>158</v>
      </c>
      <c r="O75" s="43" t="s">
        <v>158</v>
      </c>
      <c r="P75" s="43" t="s">
        <v>158</v>
      </c>
    </row>
    <row r="76" s="11" customFormat="1" spans="1:16">
      <c r="A76" s="32" t="s">
        <v>186</v>
      </c>
      <c r="B76" s="28" t="s">
        <v>206</v>
      </c>
      <c r="C76" s="28" t="s">
        <v>207</v>
      </c>
      <c r="D76" s="33" t="str">
        <f>+IFERROR(VLOOKUP(C76,Data,4,FALSE),"Not in data")</f>
        <v>S</v>
      </c>
      <c r="E76" s="34" t="s">
        <v>149</v>
      </c>
      <c r="F76" s="30">
        <v>1</v>
      </c>
      <c r="G76" s="30">
        <v>1</v>
      </c>
      <c r="H76" s="31">
        <v>8.5</v>
      </c>
      <c r="I76" s="40">
        <f t="shared" si="12"/>
        <v>8.5</v>
      </c>
      <c r="J76" s="31">
        <f>+IFERROR(VLOOKUP(C76,Data,2,FALSE),"Not in weight table")</f>
        <v>4.56</v>
      </c>
      <c r="K76" s="31">
        <f>+IFERROR(VLOOKUP(C76,Data,3,FALSE),"Not in weight table")</f>
        <v>0.255</v>
      </c>
      <c r="L76" s="44">
        <f t="shared" si="13"/>
        <v>0.03876</v>
      </c>
      <c r="M76" s="42">
        <f t="shared" si="14"/>
        <v>2.1675</v>
      </c>
      <c r="N76" s="43" t="s">
        <v>158</v>
      </c>
      <c r="O76" s="43" t="s">
        <v>158</v>
      </c>
      <c r="P76" s="43" t="s">
        <v>158</v>
      </c>
    </row>
    <row r="77" s="11" customFormat="1" spans="1:16">
      <c r="A77" s="32" t="s">
        <v>186</v>
      </c>
      <c r="B77" s="28" t="s">
        <v>206</v>
      </c>
      <c r="C77" s="28" t="s">
        <v>207</v>
      </c>
      <c r="D77" s="33" t="str">
        <f>+IFERROR(VLOOKUP(C77,Data,4,FALSE),"Not in data")</f>
        <v>S</v>
      </c>
      <c r="E77" s="34" t="s">
        <v>149</v>
      </c>
      <c r="F77" s="30">
        <v>1</v>
      </c>
      <c r="G77" s="30">
        <v>1</v>
      </c>
      <c r="H77" s="31">
        <v>9.8</v>
      </c>
      <c r="I77" s="40">
        <f t="shared" si="12"/>
        <v>9.8</v>
      </c>
      <c r="J77" s="31">
        <f>+IFERROR(VLOOKUP(C77,Data,2,FALSE),"Not in weight table")</f>
        <v>4.56</v>
      </c>
      <c r="K77" s="31">
        <f>+IFERROR(VLOOKUP(C77,Data,3,FALSE),"Not in weight table")</f>
        <v>0.255</v>
      </c>
      <c r="L77" s="44">
        <f t="shared" si="13"/>
        <v>0.044688</v>
      </c>
      <c r="M77" s="42">
        <f t="shared" si="14"/>
        <v>2.499</v>
      </c>
      <c r="N77" s="43" t="s">
        <v>158</v>
      </c>
      <c r="O77" s="43" t="s">
        <v>158</v>
      </c>
      <c r="P77" s="43" t="s">
        <v>158</v>
      </c>
    </row>
    <row r="78" s="11" customFormat="1" spans="1:16">
      <c r="A78" s="32" t="s">
        <v>186</v>
      </c>
      <c r="B78" s="28" t="s">
        <v>206</v>
      </c>
      <c r="C78" s="28" t="s">
        <v>207</v>
      </c>
      <c r="D78" s="33" t="str">
        <f>+IFERROR(VLOOKUP(C78,Data,4,FALSE),"Not in data")</f>
        <v>S</v>
      </c>
      <c r="E78" s="34" t="s">
        <v>149</v>
      </c>
      <c r="F78" s="30">
        <v>1</v>
      </c>
      <c r="G78" s="30">
        <v>1</v>
      </c>
      <c r="H78" s="31">
        <v>8.2</v>
      </c>
      <c r="I78" s="40">
        <f t="shared" si="12"/>
        <v>8.2</v>
      </c>
      <c r="J78" s="31">
        <f>+IFERROR(VLOOKUP(C78,Data,2,FALSE),"Not in weight table")</f>
        <v>4.56</v>
      </c>
      <c r="K78" s="31">
        <f>+IFERROR(VLOOKUP(C78,Data,3,FALSE),"Not in weight table")</f>
        <v>0.255</v>
      </c>
      <c r="L78" s="44">
        <f t="shared" si="13"/>
        <v>0.037392</v>
      </c>
      <c r="M78" s="42">
        <f t="shared" si="14"/>
        <v>2.091</v>
      </c>
      <c r="N78" s="43" t="s">
        <v>158</v>
      </c>
      <c r="O78" s="43" t="s">
        <v>158</v>
      </c>
      <c r="P78" s="43" t="s">
        <v>158</v>
      </c>
    </row>
    <row r="79" s="11" customFormat="1" spans="1:16">
      <c r="A79" s="32" t="s">
        <v>186</v>
      </c>
      <c r="B79" s="28" t="s">
        <v>206</v>
      </c>
      <c r="C79" s="28" t="s">
        <v>207</v>
      </c>
      <c r="D79" s="33" t="str">
        <f>+IFERROR(VLOOKUP(C79,Data,4,FALSE),"Not in data")</f>
        <v>S</v>
      </c>
      <c r="E79" s="34" t="s">
        <v>149</v>
      </c>
      <c r="F79" s="30">
        <v>1</v>
      </c>
      <c r="G79" s="30">
        <v>1</v>
      </c>
      <c r="H79" s="31">
        <v>9.4</v>
      </c>
      <c r="I79" s="40">
        <f t="shared" si="12"/>
        <v>9.4</v>
      </c>
      <c r="J79" s="31">
        <f>+IFERROR(VLOOKUP(C79,Data,2,FALSE),"Not in weight table")</f>
        <v>4.56</v>
      </c>
      <c r="K79" s="31">
        <f>+IFERROR(VLOOKUP(C79,Data,3,FALSE),"Not in weight table")</f>
        <v>0.255</v>
      </c>
      <c r="L79" s="44">
        <f t="shared" si="13"/>
        <v>0.042864</v>
      </c>
      <c r="M79" s="42">
        <f t="shared" si="14"/>
        <v>2.397</v>
      </c>
      <c r="N79" s="43" t="s">
        <v>158</v>
      </c>
      <c r="O79" s="43" t="s">
        <v>158</v>
      </c>
      <c r="P79" s="43" t="s">
        <v>158</v>
      </c>
    </row>
    <row r="80" s="11" customFormat="1" spans="1:16">
      <c r="A80" s="32" t="s">
        <v>186</v>
      </c>
      <c r="B80" s="28" t="s">
        <v>206</v>
      </c>
      <c r="C80" s="28" t="s">
        <v>207</v>
      </c>
      <c r="D80" s="33" t="str">
        <f>+IFERROR(VLOOKUP(C80,Data,4,FALSE),"Not in data")</f>
        <v>S</v>
      </c>
      <c r="E80" s="34" t="s">
        <v>149</v>
      </c>
      <c r="F80" s="30">
        <v>1</v>
      </c>
      <c r="G80" s="30">
        <v>1</v>
      </c>
      <c r="H80" s="31">
        <v>10.4</v>
      </c>
      <c r="I80" s="40">
        <f t="shared" si="12"/>
        <v>10.4</v>
      </c>
      <c r="J80" s="31">
        <f>+IFERROR(VLOOKUP(C80,Data,2,FALSE),"Not in weight table")</f>
        <v>4.56</v>
      </c>
      <c r="K80" s="31">
        <f>+IFERROR(VLOOKUP(C80,Data,3,FALSE),"Not in weight table")</f>
        <v>0.255</v>
      </c>
      <c r="L80" s="44">
        <f t="shared" si="13"/>
        <v>0.047424</v>
      </c>
      <c r="M80" s="42">
        <f t="shared" si="14"/>
        <v>2.652</v>
      </c>
      <c r="N80" s="43" t="s">
        <v>158</v>
      </c>
      <c r="O80" s="43" t="s">
        <v>158</v>
      </c>
      <c r="P80" s="43" t="s">
        <v>158</v>
      </c>
    </row>
    <row r="81" s="11" customFormat="1" spans="1:16">
      <c r="A81" s="32" t="s">
        <v>186</v>
      </c>
      <c r="B81" s="28" t="s">
        <v>206</v>
      </c>
      <c r="C81" s="28" t="s">
        <v>207</v>
      </c>
      <c r="D81" s="33" t="str">
        <f>+IFERROR(VLOOKUP(C81,Data,4,FALSE),"Not in data")</f>
        <v>S</v>
      </c>
      <c r="E81" s="34" t="s">
        <v>149</v>
      </c>
      <c r="F81" s="30">
        <v>1</v>
      </c>
      <c r="G81" s="30">
        <v>1</v>
      </c>
      <c r="H81" s="31">
        <v>10.3</v>
      </c>
      <c r="I81" s="40">
        <f t="shared" si="12"/>
        <v>10.3</v>
      </c>
      <c r="J81" s="31">
        <f>+IFERROR(VLOOKUP(C81,Data,2,FALSE),"Not in weight table")</f>
        <v>4.56</v>
      </c>
      <c r="K81" s="31">
        <f>+IFERROR(VLOOKUP(C81,Data,3,FALSE),"Not in weight table")</f>
        <v>0.255</v>
      </c>
      <c r="L81" s="44">
        <f t="shared" si="13"/>
        <v>0.046968</v>
      </c>
      <c r="M81" s="42">
        <f t="shared" si="14"/>
        <v>2.6265</v>
      </c>
      <c r="N81" s="43" t="s">
        <v>158</v>
      </c>
      <c r="O81" s="43" t="s">
        <v>158</v>
      </c>
      <c r="P81" s="43" t="s">
        <v>158</v>
      </c>
    </row>
    <row r="82" s="11" customFormat="1" spans="1:16">
      <c r="A82" s="32" t="s">
        <v>186</v>
      </c>
      <c r="B82" s="28" t="s">
        <v>206</v>
      </c>
      <c r="C82" s="28" t="s">
        <v>207</v>
      </c>
      <c r="D82" s="33" t="str">
        <f>+IFERROR(VLOOKUP(C82,Data,4,FALSE),"Not in data")</f>
        <v>S</v>
      </c>
      <c r="E82" s="34" t="s">
        <v>149</v>
      </c>
      <c r="F82" s="30">
        <v>1</v>
      </c>
      <c r="G82" s="30">
        <v>1</v>
      </c>
      <c r="H82" s="31">
        <v>6.4</v>
      </c>
      <c r="I82" s="40">
        <f t="shared" si="12"/>
        <v>6.4</v>
      </c>
      <c r="J82" s="31">
        <f>+IFERROR(VLOOKUP(C82,Data,2,FALSE),"Not in weight table")</f>
        <v>4.56</v>
      </c>
      <c r="K82" s="31">
        <f>+IFERROR(VLOOKUP(C82,Data,3,FALSE),"Not in weight table")</f>
        <v>0.255</v>
      </c>
      <c r="L82" s="44">
        <f t="shared" si="13"/>
        <v>0.029184</v>
      </c>
      <c r="M82" s="42">
        <f t="shared" si="14"/>
        <v>1.632</v>
      </c>
      <c r="N82" s="43" t="s">
        <v>158</v>
      </c>
      <c r="O82" s="43" t="s">
        <v>158</v>
      </c>
      <c r="P82" s="43" t="s">
        <v>158</v>
      </c>
    </row>
    <row r="83" s="11" customFormat="1" spans="1:16">
      <c r="A83" s="32" t="s">
        <v>186</v>
      </c>
      <c r="B83" s="28" t="s">
        <v>206</v>
      </c>
      <c r="C83" s="28" t="s">
        <v>207</v>
      </c>
      <c r="D83" s="33" t="str">
        <f>+IFERROR(VLOOKUP(C83,Data,4,FALSE),"Not in data")</f>
        <v>S</v>
      </c>
      <c r="E83" s="34" t="s">
        <v>149</v>
      </c>
      <c r="F83" s="30">
        <v>1</v>
      </c>
      <c r="G83" s="30">
        <v>1</v>
      </c>
      <c r="H83" s="31">
        <v>6.6</v>
      </c>
      <c r="I83" s="40">
        <f t="shared" si="12"/>
        <v>6.6</v>
      </c>
      <c r="J83" s="31">
        <f>+IFERROR(VLOOKUP(C83,Data,2,FALSE),"Not in weight table")</f>
        <v>4.56</v>
      </c>
      <c r="K83" s="31">
        <f>+IFERROR(VLOOKUP(C83,Data,3,FALSE),"Not in weight table")</f>
        <v>0.255</v>
      </c>
      <c r="L83" s="44">
        <f t="shared" si="13"/>
        <v>0.030096</v>
      </c>
      <c r="M83" s="42">
        <f t="shared" si="14"/>
        <v>1.683</v>
      </c>
      <c r="N83" s="43" t="s">
        <v>158</v>
      </c>
      <c r="O83" s="43" t="s">
        <v>158</v>
      </c>
      <c r="P83" s="43" t="s">
        <v>158</v>
      </c>
    </row>
    <row r="84" s="11" customFormat="1" spans="1:16">
      <c r="A84" s="32" t="s">
        <v>186</v>
      </c>
      <c r="B84" s="28" t="s">
        <v>206</v>
      </c>
      <c r="C84" s="28" t="s">
        <v>207</v>
      </c>
      <c r="D84" s="33" t="str">
        <f>+IFERROR(VLOOKUP(C84,Data,4,FALSE),"Not in data")</f>
        <v>S</v>
      </c>
      <c r="E84" s="34" t="s">
        <v>149</v>
      </c>
      <c r="F84" s="30">
        <v>1</v>
      </c>
      <c r="G84" s="30">
        <v>2</v>
      </c>
      <c r="H84" s="31">
        <v>6.9</v>
      </c>
      <c r="I84" s="40">
        <f t="shared" si="12"/>
        <v>13.8</v>
      </c>
      <c r="J84" s="31">
        <f>+IFERROR(VLOOKUP(C84,Data,2,FALSE),"Not in weight table")</f>
        <v>4.56</v>
      </c>
      <c r="K84" s="31">
        <f>+IFERROR(VLOOKUP(C84,Data,3,FALSE),"Not in weight table")</f>
        <v>0.255</v>
      </c>
      <c r="L84" s="44">
        <f t="shared" si="13"/>
        <v>0.062928</v>
      </c>
      <c r="M84" s="42">
        <f t="shared" si="14"/>
        <v>3.519</v>
      </c>
      <c r="N84" s="43" t="s">
        <v>158</v>
      </c>
      <c r="O84" s="43" t="s">
        <v>158</v>
      </c>
      <c r="P84" s="43" t="s">
        <v>158</v>
      </c>
    </row>
    <row r="85" s="11" customFormat="1" spans="1:16">
      <c r="A85" s="32" t="s">
        <v>186</v>
      </c>
      <c r="B85" s="28" t="s">
        <v>206</v>
      </c>
      <c r="C85" s="28" t="s">
        <v>207</v>
      </c>
      <c r="D85" s="33" t="str">
        <f>+IFERROR(VLOOKUP(C85,Data,4,FALSE),"Not in data")</f>
        <v>S</v>
      </c>
      <c r="E85" s="34" t="s">
        <v>149</v>
      </c>
      <c r="F85" s="30">
        <v>1</v>
      </c>
      <c r="G85" s="30">
        <v>1</v>
      </c>
      <c r="H85" s="31">
        <v>7.2</v>
      </c>
      <c r="I85" s="40">
        <f t="shared" si="12"/>
        <v>7.2</v>
      </c>
      <c r="J85" s="31">
        <f>+IFERROR(VLOOKUP(C85,Data,2,FALSE),"Not in weight table")</f>
        <v>4.56</v>
      </c>
      <c r="K85" s="31">
        <f>+IFERROR(VLOOKUP(C85,Data,3,FALSE),"Not in weight table")</f>
        <v>0.255</v>
      </c>
      <c r="L85" s="44">
        <f t="shared" si="13"/>
        <v>0.032832</v>
      </c>
      <c r="M85" s="42">
        <f t="shared" si="14"/>
        <v>1.836</v>
      </c>
      <c r="N85" s="43" t="s">
        <v>158</v>
      </c>
      <c r="O85" s="43" t="s">
        <v>158</v>
      </c>
      <c r="P85" s="43" t="s">
        <v>158</v>
      </c>
    </row>
    <row r="86" s="11" customFormat="1" spans="1:16">
      <c r="A86" s="32" t="s">
        <v>186</v>
      </c>
      <c r="B86" s="28" t="s">
        <v>206</v>
      </c>
      <c r="C86" s="28" t="s">
        <v>207</v>
      </c>
      <c r="D86" s="33" t="str">
        <f>+IFERROR(VLOOKUP(C86,Data,4,FALSE),"Not in data")</f>
        <v>S</v>
      </c>
      <c r="E86" s="34" t="s">
        <v>149</v>
      </c>
      <c r="F86" s="30">
        <v>1</v>
      </c>
      <c r="G86" s="30">
        <v>1</v>
      </c>
      <c r="H86" s="31">
        <v>7</v>
      </c>
      <c r="I86" s="40">
        <f t="shared" si="12"/>
        <v>7</v>
      </c>
      <c r="J86" s="31">
        <f>+IFERROR(VLOOKUP(C86,Data,2,FALSE),"Not in weight table")</f>
        <v>4.56</v>
      </c>
      <c r="K86" s="31">
        <f>+IFERROR(VLOOKUP(C86,Data,3,FALSE),"Not in weight table")</f>
        <v>0.255</v>
      </c>
      <c r="L86" s="44">
        <f t="shared" si="13"/>
        <v>0.03192</v>
      </c>
      <c r="M86" s="42">
        <f t="shared" si="14"/>
        <v>1.785</v>
      </c>
      <c r="N86" s="43" t="s">
        <v>158</v>
      </c>
      <c r="O86" s="43" t="s">
        <v>158</v>
      </c>
      <c r="P86" s="43" t="s">
        <v>158</v>
      </c>
    </row>
    <row r="87" s="11" customFormat="1" spans="1:16">
      <c r="A87" s="32" t="s">
        <v>186</v>
      </c>
      <c r="B87" s="28" t="s">
        <v>206</v>
      </c>
      <c r="C87" s="28" t="s">
        <v>207</v>
      </c>
      <c r="D87" s="33" t="str">
        <f>+IFERROR(VLOOKUP(C87,Data,4,FALSE),"Not in data")</f>
        <v>S</v>
      </c>
      <c r="E87" s="34" t="s">
        <v>149</v>
      </c>
      <c r="F87" s="30">
        <v>1</v>
      </c>
      <c r="G87" s="30">
        <v>2</v>
      </c>
      <c r="H87" s="31">
        <v>9.5</v>
      </c>
      <c r="I87" s="40">
        <f t="shared" si="12"/>
        <v>19</v>
      </c>
      <c r="J87" s="31">
        <f>+IFERROR(VLOOKUP(C87,Data,2,FALSE),"Not in weight table")</f>
        <v>4.56</v>
      </c>
      <c r="K87" s="31">
        <f>+IFERROR(VLOOKUP(C87,Data,3,FALSE),"Not in weight table")</f>
        <v>0.255</v>
      </c>
      <c r="L87" s="44">
        <f t="shared" si="13"/>
        <v>0.08664</v>
      </c>
      <c r="M87" s="42">
        <f t="shared" si="14"/>
        <v>4.845</v>
      </c>
      <c r="N87" s="43" t="s">
        <v>158</v>
      </c>
      <c r="O87" s="43" t="s">
        <v>158</v>
      </c>
      <c r="P87" s="43" t="s">
        <v>158</v>
      </c>
    </row>
    <row r="88" s="11" customFormat="1" spans="1:16">
      <c r="A88" s="32" t="s">
        <v>186</v>
      </c>
      <c r="B88" s="28" t="s">
        <v>206</v>
      </c>
      <c r="C88" s="28" t="s">
        <v>207</v>
      </c>
      <c r="D88" s="33" t="str">
        <f>+IFERROR(VLOOKUP(C88,Data,4,FALSE),"Not in data")</f>
        <v>S</v>
      </c>
      <c r="E88" s="34" t="s">
        <v>149</v>
      </c>
      <c r="F88" s="30">
        <v>1</v>
      </c>
      <c r="G88" s="30">
        <v>2</v>
      </c>
      <c r="H88" s="31">
        <v>7.1</v>
      </c>
      <c r="I88" s="40">
        <f t="shared" si="12"/>
        <v>14.2</v>
      </c>
      <c r="J88" s="31">
        <f>+IFERROR(VLOOKUP(C88,Data,2,FALSE),"Not in weight table")</f>
        <v>4.56</v>
      </c>
      <c r="K88" s="31">
        <f>+IFERROR(VLOOKUP(C88,Data,3,FALSE),"Not in weight table")</f>
        <v>0.255</v>
      </c>
      <c r="L88" s="44">
        <f t="shared" si="13"/>
        <v>0.064752</v>
      </c>
      <c r="M88" s="42">
        <f t="shared" si="14"/>
        <v>3.621</v>
      </c>
      <c r="N88" s="43" t="s">
        <v>158</v>
      </c>
      <c r="O88" s="43" t="s">
        <v>158</v>
      </c>
      <c r="P88" s="43" t="s">
        <v>158</v>
      </c>
    </row>
    <row r="89" s="11" customFormat="1" spans="1:16">
      <c r="A89" s="32" t="s">
        <v>186</v>
      </c>
      <c r="B89" s="28" t="s">
        <v>206</v>
      </c>
      <c r="C89" s="28" t="s">
        <v>207</v>
      </c>
      <c r="D89" s="33" t="str">
        <f>+IFERROR(VLOOKUP(C89,Data,4,FALSE),"Not in data")</f>
        <v>S</v>
      </c>
      <c r="E89" s="34" t="s">
        <v>149</v>
      </c>
      <c r="F89" s="30">
        <v>1</v>
      </c>
      <c r="G89" s="30">
        <v>1</v>
      </c>
      <c r="H89" s="31">
        <v>7.2</v>
      </c>
      <c r="I89" s="40">
        <f t="shared" si="12"/>
        <v>7.2</v>
      </c>
      <c r="J89" s="31">
        <f>+IFERROR(VLOOKUP(C89,Data,2,FALSE),"Not in weight table")</f>
        <v>4.56</v>
      </c>
      <c r="K89" s="31">
        <f>+IFERROR(VLOOKUP(C89,Data,3,FALSE),"Not in weight table")</f>
        <v>0.255</v>
      </c>
      <c r="L89" s="44">
        <f t="shared" si="13"/>
        <v>0.032832</v>
      </c>
      <c r="M89" s="42">
        <f t="shared" si="14"/>
        <v>1.836</v>
      </c>
      <c r="N89" s="43" t="s">
        <v>158</v>
      </c>
      <c r="O89" s="43" t="s">
        <v>158</v>
      </c>
      <c r="P89" s="43" t="s">
        <v>158</v>
      </c>
    </row>
    <row r="90" s="11" customFormat="1" spans="1:16">
      <c r="A90" s="32" t="s">
        <v>186</v>
      </c>
      <c r="B90" s="28" t="s">
        <v>206</v>
      </c>
      <c r="C90" s="28" t="s">
        <v>207</v>
      </c>
      <c r="D90" s="33" t="str">
        <f>+IFERROR(VLOOKUP(C90,Data,4,FALSE),"Not in data")</f>
        <v>S</v>
      </c>
      <c r="E90" s="34" t="s">
        <v>149</v>
      </c>
      <c r="F90" s="30">
        <v>1</v>
      </c>
      <c r="G90" s="30">
        <v>1</v>
      </c>
      <c r="H90" s="31">
        <v>7</v>
      </c>
      <c r="I90" s="40">
        <f t="shared" si="12"/>
        <v>7</v>
      </c>
      <c r="J90" s="31">
        <f>+IFERROR(VLOOKUP(C90,Data,2,FALSE),"Not in weight table")</f>
        <v>4.56</v>
      </c>
      <c r="K90" s="31">
        <f>+IFERROR(VLOOKUP(C90,Data,3,FALSE),"Not in weight table")</f>
        <v>0.255</v>
      </c>
      <c r="L90" s="44">
        <f t="shared" si="13"/>
        <v>0.03192</v>
      </c>
      <c r="M90" s="42">
        <f t="shared" si="14"/>
        <v>1.785</v>
      </c>
      <c r="N90" s="43" t="s">
        <v>158</v>
      </c>
      <c r="O90" s="43" t="s">
        <v>158</v>
      </c>
      <c r="P90" s="43" t="s">
        <v>158</v>
      </c>
    </row>
    <row r="91" s="11" customFormat="1" spans="1:16">
      <c r="A91" s="32" t="s">
        <v>186</v>
      </c>
      <c r="B91" s="28" t="s">
        <v>206</v>
      </c>
      <c r="C91" s="28" t="s">
        <v>207</v>
      </c>
      <c r="D91" s="33" t="str">
        <f>+IFERROR(VLOOKUP(C91,Data,4,FALSE),"Not in data")</f>
        <v>S</v>
      </c>
      <c r="E91" s="34" t="s">
        <v>149</v>
      </c>
      <c r="F91" s="30">
        <v>1</v>
      </c>
      <c r="G91" s="30">
        <v>1</v>
      </c>
      <c r="H91" s="31">
        <v>7.1</v>
      </c>
      <c r="I91" s="40">
        <f t="shared" si="12"/>
        <v>7.1</v>
      </c>
      <c r="J91" s="31">
        <f>+IFERROR(VLOOKUP(C91,Data,2,FALSE),"Not in weight table")</f>
        <v>4.56</v>
      </c>
      <c r="K91" s="31">
        <f>+IFERROR(VLOOKUP(C91,Data,3,FALSE),"Not in weight table")</f>
        <v>0.255</v>
      </c>
      <c r="L91" s="44">
        <f t="shared" si="13"/>
        <v>0.032376</v>
      </c>
      <c r="M91" s="42">
        <f t="shared" si="14"/>
        <v>1.8105</v>
      </c>
      <c r="N91" s="43" t="s">
        <v>158</v>
      </c>
      <c r="O91" s="43" t="s">
        <v>158</v>
      </c>
      <c r="P91" s="43" t="s">
        <v>158</v>
      </c>
    </row>
    <row r="92" s="11" customFormat="1" spans="1:16">
      <c r="A92" s="32" t="s">
        <v>186</v>
      </c>
      <c r="B92" s="28" t="s">
        <v>206</v>
      </c>
      <c r="C92" s="28" t="s">
        <v>207</v>
      </c>
      <c r="D92" s="33" t="str">
        <f>+IFERROR(VLOOKUP(C92,Data,4,FALSE),"Not in data")</f>
        <v>S</v>
      </c>
      <c r="E92" s="34" t="s">
        <v>149</v>
      </c>
      <c r="F92" s="30">
        <v>1</v>
      </c>
      <c r="G92" s="30">
        <v>1</v>
      </c>
      <c r="H92" s="31">
        <v>7.9</v>
      </c>
      <c r="I92" s="40">
        <f t="shared" si="12"/>
        <v>7.9</v>
      </c>
      <c r="J92" s="31">
        <f>+IFERROR(VLOOKUP(C92,Data,2,FALSE),"Not in weight table")</f>
        <v>4.56</v>
      </c>
      <c r="K92" s="31">
        <f>+IFERROR(VLOOKUP(C92,Data,3,FALSE),"Not in weight table")</f>
        <v>0.255</v>
      </c>
      <c r="L92" s="44">
        <f t="shared" si="13"/>
        <v>0.036024</v>
      </c>
      <c r="M92" s="42">
        <f t="shared" si="14"/>
        <v>2.0145</v>
      </c>
      <c r="N92" s="43" t="s">
        <v>158</v>
      </c>
      <c r="O92" s="43" t="s">
        <v>158</v>
      </c>
      <c r="P92" s="43" t="s">
        <v>158</v>
      </c>
    </row>
    <row r="93" s="11" customFormat="1" spans="1:16">
      <c r="A93" s="32" t="s">
        <v>186</v>
      </c>
      <c r="B93" s="28" t="s">
        <v>208</v>
      </c>
      <c r="C93" s="28" t="s">
        <v>209</v>
      </c>
      <c r="D93" s="33" t="str">
        <f>+IFERROR(VLOOKUP(C93,Data,4,FALSE),"Not in data")</f>
        <v>Not in data</v>
      </c>
      <c r="E93" s="34" t="s">
        <v>149</v>
      </c>
      <c r="F93" s="30">
        <v>1</v>
      </c>
      <c r="G93" s="30">
        <v>1</v>
      </c>
      <c r="H93" s="31">
        <v>4.3</v>
      </c>
      <c r="I93" s="40">
        <f t="shared" ref="I93:I102" si="15">+IF(F93&lt;&gt;"",F93*G93*H93,0)</f>
        <v>4.3</v>
      </c>
      <c r="J93" s="31" t="str">
        <f>+IFERROR(VLOOKUP(C93,Data,2,FALSE),"Not in weight table")</f>
        <v>Not in weight table</v>
      </c>
      <c r="K93" s="31" t="str">
        <f>+IFERROR(VLOOKUP(C93,Data,3,FALSE),"Not in weight table")</f>
        <v>Not in weight table</v>
      </c>
      <c r="L93" s="44">
        <f t="shared" ref="L93:L102" si="16">+IF(ISNUMBER(J93),I93*J93/1000,0)</f>
        <v>0</v>
      </c>
      <c r="M93" s="42">
        <f t="shared" ref="M93:M102" si="17">+IF(ISNUMBER(K93),I93*K93,0)</f>
        <v>0</v>
      </c>
      <c r="N93" s="43" t="s">
        <v>158</v>
      </c>
      <c r="O93" s="43" t="s">
        <v>158</v>
      </c>
      <c r="P93" s="43" t="s">
        <v>158</v>
      </c>
    </row>
    <row r="94" s="11" customFormat="1" spans="1:16">
      <c r="A94" s="32" t="s">
        <v>186</v>
      </c>
      <c r="B94" s="28" t="s">
        <v>208</v>
      </c>
      <c r="C94" s="28" t="s">
        <v>209</v>
      </c>
      <c r="D94" s="33" t="str">
        <f>+IFERROR(VLOOKUP(C94,Data,4,FALSE),"Not in data")</f>
        <v>Not in data</v>
      </c>
      <c r="E94" s="34" t="s">
        <v>149</v>
      </c>
      <c r="F94" s="30">
        <v>1</v>
      </c>
      <c r="G94" s="30">
        <v>1</v>
      </c>
      <c r="H94" s="31">
        <v>8.3</v>
      </c>
      <c r="I94" s="40">
        <f t="shared" si="15"/>
        <v>8.3</v>
      </c>
      <c r="J94" s="31" t="str">
        <f>+IFERROR(VLOOKUP(C94,Data,2,FALSE),"Not in weight table")</f>
        <v>Not in weight table</v>
      </c>
      <c r="K94" s="31" t="str">
        <f>+IFERROR(VLOOKUP(C94,Data,3,FALSE),"Not in weight table")</f>
        <v>Not in weight table</v>
      </c>
      <c r="L94" s="44">
        <f t="shared" si="16"/>
        <v>0</v>
      </c>
      <c r="M94" s="42">
        <f t="shared" si="17"/>
        <v>0</v>
      </c>
      <c r="N94" s="43" t="s">
        <v>158</v>
      </c>
      <c r="O94" s="43" t="s">
        <v>158</v>
      </c>
      <c r="P94" s="43" t="s">
        <v>158</v>
      </c>
    </row>
    <row r="95" s="11" customFormat="1" spans="1:16">
      <c r="A95" s="32" t="s">
        <v>186</v>
      </c>
      <c r="B95" s="28" t="s">
        <v>208</v>
      </c>
      <c r="C95" s="28" t="s">
        <v>209</v>
      </c>
      <c r="D95" s="33" t="str">
        <f>+IFERROR(VLOOKUP(C95,Data,4,FALSE),"Not in data")</f>
        <v>Not in data</v>
      </c>
      <c r="E95" s="34" t="s">
        <v>149</v>
      </c>
      <c r="F95" s="30">
        <v>1</v>
      </c>
      <c r="G95" s="30">
        <v>1</v>
      </c>
      <c r="H95" s="31">
        <v>7.2</v>
      </c>
      <c r="I95" s="40">
        <f t="shared" si="15"/>
        <v>7.2</v>
      </c>
      <c r="J95" s="31" t="str">
        <f>+IFERROR(VLOOKUP(C95,Data,2,FALSE),"Not in weight table")</f>
        <v>Not in weight table</v>
      </c>
      <c r="K95" s="31" t="str">
        <f>+IFERROR(VLOOKUP(C95,Data,3,FALSE),"Not in weight table")</f>
        <v>Not in weight table</v>
      </c>
      <c r="L95" s="44">
        <f t="shared" si="16"/>
        <v>0</v>
      </c>
      <c r="M95" s="42">
        <f t="shared" si="17"/>
        <v>0</v>
      </c>
      <c r="N95" s="43" t="s">
        <v>158</v>
      </c>
      <c r="O95" s="43" t="s">
        <v>158</v>
      </c>
      <c r="P95" s="43" t="s">
        <v>158</v>
      </c>
    </row>
    <row r="96" s="11" customFormat="1" spans="1:16">
      <c r="A96" s="32" t="s">
        <v>186</v>
      </c>
      <c r="B96" s="28" t="s">
        <v>208</v>
      </c>
      <c r="C96" s="28" t="s">
        <v>209</v>
      </c>
      <c r="D96" s="33" t="str">
        <f>+IFERROR(VLOOKUP(C96,Data,4,FALSE),"Not in data")</f>
        <v>Not in data</v>
      </c>
      <c r="E96" s="34" t="s">
        <v>149</v>
      </c>
      <c r="F96" s="30">
        <v>1</v>
      </c>
      <c r="G96" s="30">
        <v>1</v>
      </c>
      <c r="H96" s="31">
        <v>4.1</v>
      </c>
      <c r="I96" s="40">
        <f t="shared" si="15"/>
        <v>4.1</v>
      </c>
      <c r="J96" s="31" t="str">
        <f>+IFERROR(VLOOKUP(C96,Data,2,FALSE),"Not in weight table")</f>
        <v>Not in weight table</v>
      </c>
      <c r="K96" s="31" t="str">
        <f>+IFERROR(VLOOKUP(C96,Data,3,FALSE),"Not in weight table")</f>
        <v>Not in weight table</v>
      </c>
      <c r="L96" s="44">
        <f t="shared" si="16"/>
        <v>0</v>
      </c>
      <c r="M96" s="42">
        <f t="shared" si="17"/>
        <v>0</v>
      </c>
      <c r="N96" s="43" t="s">
        <v>158</v>
      </c>
      <c r="O96" s="43" t="s">
        <v>158</v>
      </c>
      <c r="P96" s="43" t="s">
        <v>158</v>
      </c>
    </row>
    <row r="97" s="11" customFormat="1" spans="1:16">
      <c r="A97" s="32" t="s">
        <v>186</v>
      </c>
      <c r="B97" s="28" t="s">
        <v>208</v>
      </c>
      <c r="C97" s="28" t="s">
        <v>209</v>
      </c>
      <c r="D97" s="33" t="str">
        <f>+IFERROR(VLOOKUP(C97,Data,4,FALSE),"Not in data")</f>
        <v>Not in data</v>
      </c>
      <c r="E97" s="34" t="s">
        <v>149</v>
      </c>
      <c r="F97" s="30">
        <v>1</v>
      </c>
      <c r="G97" s="30">
        <v>1</v>
      </c>
      <c r="H97" s="31">
        <v>6.2</v>
      </c>
      <c r="I97" s="40">
        <f t="shared" si="15"/>
        <v>6.2</v>
      </c>
      <c r="J97" s="31" t="str">
        <f>+IFERROR(VLOOKUP(C97,Data,2,FALSE),"Not in weight table")</f>
        <v>Not in weight table</v>
      </c>
      <c r="K97" s="31" t="str">
        <f>+IFERROR(VLOOKUP(C97,Data,3,FALSE),"Not in weight table")</f>
        <v>Not in weight table</v>
      </c>
      <c r="L97" s="44">
        <f t="shared" si="16"/>
        <v>0</v>
      </c>
      <c r="M97" s="42">
        <f t="shared" si="17"/>
        <v>0</v>
      </c>
      <c r="N97" s="43" t="s">
        <v>158</v>
      </c>
      <c r="O97" s="43" t="s">
        <v>158</v>
      </c>
      <c r="P97" s="43" t="s">
        <v>158</v>
      </c>
    </row>
    <row r="98" s="11" customFormat="1" spans="1:16">
      <c r="A98" s="32" t="s">
        <v>186</v>
      </c>
      <c r="B98" s="28" t="s">
        <v>208</v>
      </c>
      <c r="C98" s="28" t="s">
        <v>209</v>
      </c>
      <c r="D98" s="33" t="str">
        <f>+IFERROR(VLOOKUP(C98,Data,4,FALSE),"Not in data")</f>
        <v>Not in data</v>
      </c>
      <c r="E98" s="34" t="s">
        <v>149</v>
      </c>
      <c r="F98" s="30">
        <v>1</v>
      </c>
      <c r="G98" s="30">
        <v>1</v>
      </c>
      <c r="H98" s="31">
        <v>3.5</v>
      </c>
      <c r="I98" s="40">
        <f t="shared" si="15"/>
        <v>3.5</v>
      </c>
      <c r="J98" s="31" t="str">
        <f>+IFERROR(VLOOKUP(C98,Data,2,FALSE),"Not in weight table")</f>
        <v>Not in weight table</v>
      </c>
      <c r="K98" s="31" t="str">
        <f>+IFERROR(VLOOKUP(C98,Data,3,FALSE),"Not in weight table")</f>
        <v>Not in weight table</v>
      </c>
      <c r="L98" s="44">
        <f t="shared" si="16"/>
        <v>0</v>
      </c>
      <c r="M98" s="42">
        <f t="shared" si="17"/>
        <v>0</v>
      </c>
      <c r="N98" s="43" t="s">
        <v>158</v>
      </c>
      <c r="O98" s="43" t="s">
        <v>158</v>
      </c>
      <c r="P98" s="43" t="s">
        <v>158</v>
      </c>
    </row>
    <row r="99" s="11" customFormat="1" spans="1:16">
      <c r="A99" s="32" t="s">
        <v>186</v>
      </c>
      <c r="B99" s="28" t="s">
        <v>208</v>
      </c>
      <c r="C99" s="28" t="s">
        <v>209</v>
      </c>
      <c r="D99" s="33" t="str">
        <f>+IFERROR(VLOOKUP(C99,Data,4,FALSE),"Not in data")</f>
        <v>Not in data</v>
      </c>
      <c r="E99" s="34" t="s">
        <v>149</v>
      </c>
      <c r="F99" s="30">
        <v>1</v>
      </c>
      <c r="G99" s="30">
        <v>1</v>
      </c>
      <c r="H99" s="31">
        <v>8</v>
      </c>
      <c r="I99" s="40">
        <f t="shared" si="15"/>
        <v>8</v>
      </c>
      <c r="J99" s="31" t="str">
        <f>+IFERROR(VLOOKUP(C99,Data,2,FALSE),"Not in weight table")</f>
        <v>Not in weight table</v>
      </c>
      <c r="K99" s="31" t="str">
        <f>+IFERROR(VLOOKUP(C99,Data,3,FALSE),"Not in weight table")</f>
        <v>Not in weight table</v>
      </c>
      <c r="L99" s="44">
        <f t="shared" si="16"/>
        <v>0</v>
      </c>
      <c r="M99" s="42">
        <f t="shared" si="17"/>
        <v>0</v>
      </c>
      <c r="N99" s="43" t="s">
        <v>158</v>
      </c>
      <c r="O99" s="43" t="s">
        <v>158</v>
      </c>
      <c r="P99" s="43" t="s">
        <v>158</v>
      </c>
    </row>
    <row r="100" s="11" customFormat="1" spans="1:16">
      <c r="A100" s="32" t="s">
        <v>186</v>
      </c>
      <c r="B100" s="28" t="s">
        <v>208</v>
      </c>
      <c r="C100" s="28" t="s">
        <v>209</v>
      </c>
      <c r="D100" s="33" t="str">
        <f>+IFERROR(VLOOKUP(C100,Data,4,FALSE),"Not in data")</f>
        <v>Not in data</v>
      </c>
      <c r="E100" s="34" t="s">
        <v>149</v>
      </c>
      <c r="F100" s="30">
        <v>1</v>
      </c>
      <c r="G100" s="30">
        <v>1</v>
      </c>
      <c r="H100" s="31">
        <v>11.3</v>
      </c>
      <c r="I100" s="40">
        <f t="shared" si="15"/>
        <v>11.3</v>
      </c>
      <c r="J100" s="31" t="str">
        <f>+IFERROR(VLOOKUP(C100,Data,2,FALSE),"Not in weight table")</f>
        <v>Not in weight table</v>
      </c>
      <c r="K100" s="31" t="str">
        <f>+IFERROR(VLOOKUP(C100,Data,3,FALSE),"Not in weight table")</f>
        <v>Not in weight table</v>
      </c>
      <c r="L100" s="44">
        <f t="shared" si="16"/>
        <v>0</v>
      </c>
      <c r="M100" s="42">
        <f t="shared" si="17"/>
        <v>0</v>
      </c>
      <c r="N100" s="43" t="s">
        <v>158</v>
      </c>
      <c r="O100" s="43" t="s">
        <v>158</v>
      </c>
      <c r="P100" s="43" t="s">
        <v>158</v>
      </c>
    </row>
    <row r="101" s="11" customFormat="1" spans="1:16">
      <c r="A101" s="32" t="s">
        <v>186</v>
      </c>
      <c r="B101" s="28" t="s">
        <v>208</v>
      </c>
      <c r="C101" s="28" t="s">
        <v>209</v>
      </c>
      <c r="D101" s="33" t="str">
        <f>+IFERROR(VLOOKUP(C101,Data,4,FALSE),"Not in data")</f>
        <v>Not in data</v>
      </c>
      <c r="E101" s="34" t="s">
        <v>149</v>
      </c>
      <c r="F101" s="30">
        <v>1</v>
      </c>
      <c r="G101" s="30">
        <v>1</v>
      </c>
      <c r="H101" s="31">
        <v>7.1</v>
      </c>
      <c r="I101" s="40">
        <f t="shared" si="15"/>
        <v>7.1</v>
      </c>
      <c r="J101" s="31" t="str">
        <f>+IFERROR(VLOOKUP(C101,Data,2,FALSE),"Not in weight table")</f>
        <v>Not in weight table</v>
      </c>
      <c r="K101" s="31" t="str">
        <f>+IFERROR(VLOOKUP(C101,Data,3,FALSE),"Not in weight table")</f>
        <v>Not in weight table</v>
      </c>
      <c r="L101" s="44">
        <f t="shared" si="16"/>
        <v>0</v>
      </c>
      <c r="M101" s="42">
        <f t="shared" si="17"/>
        <v>0</v>
      </c>
      <c r="N101" s="43" t="s">
        <v>158</v>
      </c>
      <c r="O101" s="43" t="s">
        <v>158</v>
      </c>
      <c r="P101" s="43" t="s">
        <v>158</v>
      </c>
    </row>
    <row r="102" s="11" customFormat="1" spans="1:16">
      <c r="A102" s="32" t="s">
        <v>186</v>
      </c>
      <c r="B102" s="28" t="s">
        <v>208</v>
      </c>
      <c r="C102" s="28" t="s">
        <v>209</v>
      </c>
      <c r="D102" s="33" t="str">
        <f>+IFERROR(VLOOKUP(C102,Data,4,FALSE),"Not in data")</f>
        <v>Not in data</v>
      </c>
      <c r="E102" s="34" t="s">
        <v>149</v>
      </c>
      <c r="F102" s="30">
        <v>1</v>
      </c>
      <c r="G102" s="30">
        <v>3</v>
      </c>
      <c r="H102" s="31">
        <v>16.7</v>
      </c>
      <c r="I102" s="40">
        <f t="shared" si="15"/>
        <v>50.1</v>
      </c>
      <c r="J102" s="31" t="str">
        <f>+IFERROR(VLOOKUP(C102,Data,2,FALSE),"Not in weight table")</f>
        <v>Not in weight table</v>
      </c>
      <c r="K102" s="31" t="str">
        <f>+IFERROR(VLOOKUP(C102,Data,3,FALSE),"Not in weight table")</f>
        <v>Not in weight table</v>
      </c>
      <c r="L102" s="44">
        <f t="shared" si="16"/>
        <v>0</v>
      </c>
      <c r="M102" s="42">
        <f t="shared" si="17"/>
        <v>0</v>
      </c>
      <c r="N102" s="43" t="s">
        <v>158</v>
      </c>
      <c r="O102" s="43" t="s">
        <v>158</v>
      </c>
      <c r="P102" s="43" t="s">
        <v>158</v>
      </c>
    </row>
    <row r="103" s="11" customFormat="1" spans="1:16">
      <c r="A103" s="32" t="s">
        <v>186</v>
      </c>
      <c r="B103" s="28" t="s">
        <v>188</v>
      </c>
      <c r="C103" s="28" t="s">
        <v>189</v>
      </c>
      <c r="D103" s="33" t="str">
        <f>+IFERROR(VLOOKUP(C103,Data,4,FALSE),"Not in data")</f>
        <v>S</v>
      </c>
      <c r="E103" s="34" t="s">
        <v>149</v>
      </c>
      <c r="F103" s="30">
        <v>1</v>
      </c>
      <c r="G103" s="30">
        <v>2</v>
      </c>
      <c r="H103" s="31">
        <v>3</v>
      </c>
      <c r="I103" s="40">
        <f t="shared" ref="I103:I109" si="18">+IF(F103&lt;&gt;"",F103*G103*H103,0)</f>
        <v>6</v>
      </c>
      <c r="J103" s="31">
        <f>+IFERROR(VLOOKUP(C103,Data,2,FALSE),"Not in weight table")</f>
        <v>22.9</v>
      </c>
      <c r="K103" s="31">
        <f>+IFERROR(VLOOKUP(C103,Data,3,FALSE),"Not in weight table")</f>
        <v>0.668</v>
      </c>
      <c r="L103" s="44">
        <f t="shared" ref="L103:L109" si="19">+IF(ISNUMBER(J103),I103*J103/1000,0)</f>
        <v>0.1374</v>
      </c>
      <c r="M103" s="42">
        <f t="shared" ref="M103:M109" si="20">+IF(ISNUMBER(K103),I103*K103,0)</f>
        <v>4.008</v>
      </c>
      <c r="N103" s="43" t="s">
        <v>158</v>
      </c>
      <c r="O103" s="43" t="s">
        <v>158</v>
      </c>
      <c r="P103" s="43" t="s">
        <v>158</v>
      </c>
    </row>
    <row r="104" s="11" customFormat="1" spans="1:16">
      <c r="A104" s="32" t="s">
        <v>186</v>
      </c>
      <c r="B104" s="28" t="s">
        <v>188</v>
      </c>
      <c r="C104" s="28" t="s">
        <v>189</v>
      </c>
      <c r="D104" s="33" t="str">
        <f>+IFERROR(VLOOKUP(C104,Data,4,FALSE),"Not in data")</f>
        <v>S</v>
      </c>
      <c r="E104" s="34" t="s">
        <v>149</v>
      </c>
      <c r="F104" s="30">
        <v>1</v>
      </c>
      <c r="G104" s="30">
        <v>6</v>
      </c>
      <c r="H104" s="31">
        <v>3</v>
      </c>
      <c r="I104" s="40">
        <f t="shared" si="18"/>
        <v>18</v>
      </c>
      <c r="J104" s="31">
        <f>+IFERROR(VLOOKUP(C104,Data,2,FALSE),"Not in weight table")</f>
        <v>22.9</v>
      </c>
      <c r="K104" s="31">
        <f>+IFERROR(VLOOKUP(C104,Data,3,FALSE),"Not in weight table")</f>
        <v>0.668</v>
      </c>
      <c r="L104" s="44">
        <f t="shared" si="19"/>
        <v>0.4122</v>
      </c>
      <c r="M104" s="42">
        <f t="shared" si="20"/>
        <v>12.024</v>
      </c>
      <c r="N104" s="43" t="s">
        <v>158</v>
      </c>
      <c r="O104" s="43" t="s">
        <v>158</v>
      </c>
      <c r="P104" s="43" t="s">
        <v>158</v>
      </c>
    </row>
    <row r="105" s="11" customFormat="1" spans="1:16">
      <c r="A105" s="32" t="s">
        <v>186</v>
      </c>
      <c r="B105" s="28" t="s">
        <v>210</v>
      </c>
      <c r="C105" s="28" t="s">
        <v>211</v>
      </c>
      <c r="D105" s="33" t="str">
        <f>+IFERROR(VLOOKUP(C105,Data,4,FALSE),"Not in data")</f>
        <v>S</v>
      </c>
      <c r="E105" s="34" t="s">
        <v>149</v>
      </c>
      <c r="F105" s="30">
        <v>1</v>
      </c>
      <c r="G105" s="30">
        <v>2</v>
      </c>
      <c r="H105" s="31">
        <v>3</v>
      </c>
      <c r="I105" s="40">
        <f t="shared" si="18"/>
        <v>6</v>
      </c>
      <c r="J105" s="31">
        <f>+IFERROR(VLOOKUP(C105,Data,2,FALSE),"Not in weight table")</f>
        <v>14.3</v>
      </c>
      <c r="K105" s="31">
        <f>+IFERROR(VLOOKUP(C105,Data,3,FALSE),"Not in weight table")</f>
        <v>0.471</v>
      </c>
      <c r="L105" s="44">
        <f t="shared" si="19"/>
        <v>0.0858</v>
      </c>
      <c r="M105" s="42">
        <f t="shared" si="20"/>
        <v>2.826</v>
      </c>
      <c r="N105" s="43" t="s">
        <v>158</v>
      </c>
      <c r="O105" s="43" t="s">
        <v>158</v>
      </c>
      <c r="P105" s="43" t="s">
        <v>158</v>
      </c>
    </row>
    <row r="106" s="11" customFormat="1" spans="1:16">
      <c r="A106" s="32" t="s">
        <v>186</v>
      </c>
      <c r="B106" s="28" t="s">
        <v>212</v>
      </c>
      <c r="C106" s="28" t="s">
        <v>213</v>
      </c>
      <c r="D106" s="33" t="str">
        <f>+IFERROR(VLOOKUP(C106,Data,4,FALSE),"Not in data")</f>
        <v>S</v>
      </c>
      <c r="E106" s="34" t="s">
        <v>149</v>
      </c>
      <c r="F106" s="30">
        <v>1</v>
      </c>
      <c r="G106" s="30">
        <v>2</v>
      </c>
      <c r="H106" s="31">
        <v>3</v>
      </c>
      <c r="I106" s="40">
        <f t="shared" si="18"/>
        <v>6</v>
      </c>
      <c r="J106" s="31">
        <f>+IFERROR(VLOOKUP(C106,Data,2,FALSE),"Not in weight table")</f>
        <v>53.7</v>
      </c>
      <c r="K106" s="31">
        <f>+IFERROR(VLOOKUP(C106,Data,3,FALSE),"Not in weight table")</f>
        <v>1.48</v>
      </c>
      <c r="L106" s="44">
        <f t="shared" si="19"/>
        <v>0.3222</v>
      </c>
      <c r="M106" s="42">
        <f t="shared" si="20"/>
        <v>8.88</v>
      </c>
      <c r="N106" s="43" t="s">
        <v>158</v>
      </c>
      <c r="O106" s="43" t="s">
        <v>158</v>
      </c>
      <c r="P106" s="43" t="s">
        <v>158</v>
      </c>
    </row>
    <row r="107" s="11" customFormat="1" spans="1:16">
      <c r="A107" s="32" t="s">
        <v>186</v>
      </c>
      <c r="B107" s="28" t="s">
        <v>214</v>
      </c>
      <c r="C107" s="28" t="s">
        <v>189</v>
      </c>
      <c r="D107" s="33" t="str">
        <f>+IFERROR(VLOOKUP(C107,Data,4,FALSE),"Not in data")</f>
        <v>S</v>
      </c>
      <c r="E107" s="34" t="s">
        <v>149</v>
      </c>
      <c r="F107" s="30">
        <v>1</v>
      </c>
      <c r="G107" s="30">
        <v>2</v>
      </c>
      <c r="H107" s="31">
        <v>8.3</v>
      </c>
      <c r="I107" s="40">
        <f t="shared" si="18"/>
        <v>16.6</v>
      </c>
      <c r="J107" s="31">
        <f>+IFERROR(VLOOKUP(C107,Data,2,FALSE),"Not in weight table")</f>
        <v>22.9</v>
      </c>
      <c r="K107" s="31">
        <f>+IFERROR(VLOOKUP(C107,Data,3,FALSE),"Not in weight table")</f>
        <v>0.668</v>
      </c>
      <c r="L107" s="44">
        <f t="shared" si="19"/>
        <v>0.38014</v>
      </c>
      <c r="M107" s="42">
        <f t="shared" si="20"/>
        <v>11.0888</v>
      </c>
      <c r="N107" s="43" t="s">
        <v>158</v>
      </c>
      <c r="O107" s="43" t="s">
        <v>158</v>
      </c>
      <c r="P107" s="43" t="s">
        <v>158</v>
      </c>
    </row>
    <row r="108" s="11" customFormat="1" spans="1:16">
      <c r="A108" s="32" t="s">
        <v>186</v>
      </c>
      <c r="B108" s="28" t="s">
        <v>214</v>
      </c>
      <c r="C108" s="28" t="s">
        <v>189</v>
      </c>
      <c r="D108" s="33" t="str">
        <f>+IFERROR(VLOOKUP(C108,Data,4,FALSE),"Not in data")</f>
        <v>S</v>
      </c>
      <c r="E108" s="34" t="s">
        <v>149</v>
      </c>
      <c r="F108" s="30">
        <v>1</v>
      </c>
      <c r="G108" s="30">
        <v>2</v>
      </c>
      <c r="H108" s="31">
        <v>8.34</v>
      </c>
      <c r="I108" s="40">
        <f t="shared" si="18"/>
        <v>16.68</v>
      </c>
      <c r="J108" s="31">
        <f>+IFERROR(VLOOKUP(C108,Data,2,FALSE),"Not in weight table")</f>
        <v>22.9</v>
      </c>
      <c r="K108" s="31">
        <f>+IFERROR(VLOOKUP(C108,Data,3,FALSE),"Not in weight table")</f>
        <v>0.668</v>
      </c>
      <c r="L108" s="44">
        <f t="shared" si="19"/>
        <v>0.381972</v>
      </c>
      <c r="M108" s="42">
        <f t="shared" si="20"/>
        <v>11.14224</v>
      </c>
      <c r="N108" s="43" t="s">
        <v>158</v>
      </c>
      <c r="O108" s="43" t="s">
        <v>158</v>
      </c>
      <c r="P108" s="43" t="s">
        <v>158</v>
      </c>
    </row>
    <row r="109" s="11" customFormat="1" spans="1:16">
      <c r="A109" s="32" t="s">
        <v>186</v>
      </c>
      <c r="B109" s="28" t="s">
        <v>214</v>
      </c>
      <c r="C109" s="28" t="s">
        <v>189</v>
      </c>
      <c r="D109" s="33" t="str">
        <f>+IFERROR(VLOOKUP(C109,Data,4,FALSE),"Not in data")</f>
        <v>S</v>
      </c>
      <c r="E109" s="34" t="s">
        <v>149</v>
      </c>
      <c r="F109" s="30">
        <v>1</v>
      </c>
      <c r="G109" s="30">
        <v>2</v>
      </c>
      <c r="H109" s="31">
        <v>7</v>
      </c>
      <c r="I109" s="40">
        <f t="shared" si="18"/>
        <v>14</v>
      </c>
      <c r="J109" s="31">
        <f>+IFERROR(VLOOKUP(C109,Data,2,FALSE),"Not in weight table")</f>
        <v>22.9</v>
      </c>
      <c r="K109" s="31">
        <f>+IFERROR(VLOOKUP(C109,Data,3,FALSE),"Not in weight table")</f>
        <v>0.668</v>
      </c>
      <c r="L109" s="44">
        <f t="shared" si="19"/>
        <v>0.3206</v>
      </c>
      <c r="M109" s="42">
        <f t="shared" si="20"/>
        <v>9.352</v>
      </c>
      <c r="N109" s="43" t="s">
        <v>158</v>
      </c>
      <c r="O109" s="43" t="s">
        <v>158</v>
      </c>
      <c r="P109" s="43" t="s">
        <v>158</v>
      </c>
    </row>
    <row r="110" s="11" customFormat="1" spans="1:16">
      <c r="A110" s="32" t="s">
        <v>186</v>
      </c>
      <c r="B110" s="28" t="s">
        <v>215</v>
      </c>
      <c r="C110" s="28" t="s">
        <v>211</v>
      </c>
      <c r="D110" s="33" t="str">
        <f>+IFERROR(VLOOKUP(C110,Data,4,FALSE),"Not in data")</f>
        <v>S</v>
      </c>
      <c r="E110" s="34" t="s">
        <v>149</v>
      </c>
      <c r="F110" s="30">
        <v>1</v>
      </c>
      <c r="G110" s="30">
        <v>2</v>
      </c>
      <c r="H110" s="31">
        <v>6.7</v>
      </c>
      <c r="I110" s="40">
        <f t="shared" ref="I110:I122" si="21">+IF(F110&lt;&gt;"",F110*G110*H110,0)</f>
        <v>13.4</v>
      </c>
      <c r="J110" s="31">
        <f>+IFERROR(VLOOKUP(C110,Data,2,FALSE),"Not in weight table")</f>
        <v>14.3</v>
      </c>
      <c r="K110" s="31">
        <f>+IFERROR(VLOOKUP(C110,Data,3,FALSE),"Not in weight table")</f>
        <v>0.471</v>
      </c>
      <c r="L110" s="44">
        <f t="shared" ref="L110:L122" si="22">+IF(ISNUMBER(J110),I110*J110/1000,0)</f>
        <v>0.19162</v>
      </c>
      <c r="M110" s="42">
        <f t="shared" ref="M110:M122" si="23">+IF(ISNUMBER(K110),I110*K110,0)</f>
        <v>6.3114</v>
      </c>
      <c r="N110" s="43" t="s">
        <v>158</v>
      </c>
      <c r="O110" s="43" t="s">
        <v>158</v>
      </c>
      <c r="P110" s="43" t="s">
        <v>158</v>
      </c>
    </row>
    <row r="111" s="11" customFormat="1" spans="1:16">
      <c r="A111" s="32" t="s">
        <v>186</v>
      </c>
      <c r="B111" s="28" t="s">
        <v>216</v>
      </c>
      <c r="C111" s="28" t="s">
        <v>217</v>
      </c>
      <c r="D111" s="33" t="str">
        <f>+IFERROR(VLOOKUP(C111,Data,4,FALSE),"Not in data")</f>
        <v>S</v>
      </c>
      <c r="E111" s="34" t="s">
        <v>149</v>
      </c>
      <c r="F111" s="30">
        <v>1</v>
      </c>
      <c r="G111" s="30">
        <v>1</v>
      </c>
      <c r="H111" s="31">
        <v>16.8</v>
      </c>
      <c r="I111" s="40">
        <f t="shared" si="21"/>
        <v>16.8</v>
      </c>
      <c r="J111" s="31">
        <f>+IFERROR(VLOOKUP(C111,Data,2,FALSE),"Not in weight table")</f>
        <v>31.4</v>
      </c>
      <c r="K111" s="31">
        <f>+IFERROR(VLOOKUP(C111,Data,3,FALSE),"Not in weight table")</f>
        <v>1.06</v>
      </c>
      <c r="L111" s="44">
        <f t="shared" si="22"/>
        <v>0.52752</v>
      </c>
      <c r="M111" s="42">
        <f t="shared" si="23"/>
        <v>17.808</v>
      </c>
      <c r="N111" s="43" t="s">
        <v>158</v>
      </c>
      <c r="O111" s="43" t="s">
        <v>158</v>
      </c>
      <c r="P111" s="43" t="s">
        <v>158</v>
      </c>
    </row>
    <row r="112" s="11" customFormat="1" spans="1:16">
      <c r="A112" s="32" t="s">
        <v>186</v>
      </c>
      <c r="B112" s="28" t="s">
        <v>218</v>
      </c>
      <c r="C112" s="28" t="s">
        <v>219</v>
      </c>
      <c r="D112" s="33" t="str">
        <f>+IFERROR(VLOOKUP(C112,Data,4,FALSE),"Not in data")</f>
        <v>Not in data</v>
      </c>
      <c r="E112" s="34" t="s">
        <v>148</v>
      </c>
      <c r="F112" s="30">
        <v>1</v>
      </c>
      <c r="G112" s="30">
        <v>8</v>
      </c>
      <c r="H112" s="31">
        <v>7.97</v>
      </c>
      <c r="I112" s="40">
        <f t="shared" si="21"/>
        <v>63.76</v>
      </c>
      <c r="J112" s="31" t="str">
        <f>+IFERROR(VLOOKUP(C112,Data,2,FALSE),"Not in weight table")</f>
        <v>Not in weight table</v>
      </c>
      <c r="K112" s="31" t="str">
        <f>+IFERROR(VLOOKUP(C112,Data,3,FALSE),"Not in weight table")</f>
        <v>Not in weight table</v>
      </c>
      <c r="L112" s="44">
        <f t="shared" si="22"/>
        <v>0</v>
      </c>
      <c r="M112" s="42">
        <f t="shared" si="23"/>
        <v>0</v>
      </c>
      <c r="N112" s="43" t="s">
        <v>158</v>
      </c>
      <c r="O112" s="43" t="s">
        <v>158</v>
      </c>
      <c r="P112" s="43" t="s">
        <v>158</v>
      </c>
    </row>
    <row r="113" s="11" customFormat="1" spans="1:16">
      <c r="A113" s="32" t="s">
        <v>186</v>
      </c>
      <c r="B113" s="28" t="s">
        <v>218</v>
      </c>
      <c r="C113" s="28" t="s">
        <v>219</v>
      </c>
      <c r="D113" s="33" t="str">
        <f>+IFERROR(VLOOKUP(C113,Data,4,FALSE),"Not in data")</f>
        <v>Not in data</v>
      </c>
      <c r="E113" s="34" t="s">
        <v>148</v>
      </c>
      <c r="F113" s="30">
        <v>1</v>
      </c>
      <c r="G113" s="30">
        <v>8</v>
      </c>
      <c r="H113" s="31">
        <v>8.1</v>
      </c>
      <c r="I113" s="40">
        <f t="shared" si="21"/>
        <v>64.8</v>
      </c>
      <c r="J113" s="31" t="str">
        <f>+IFERROR(VLOOKUP(C113,Data,2,FALSE),"Not in weight table")</f>
        <v>Not in weight table</v>
      </c>
      <c r="K113" s="31" t="str">
        <f>+IFERROR(VLOOKUP(C113,Data,3,FALSE),"Not in weight table")</f>
        <v>Not in weight table</v>
      </c>
      <c r="L113" s="44">
        <f t="shared" si="22"/>
        <v>0</v>
      </c>
      <c r="M113" s="42">
        <f t="shared" si="23"/>
        <v>0</v>
      </c>
      <c r="N113" s="43" t="s">
        <v>158</v>
      </c>
      <c r="O113" s="43" t="s">
        <v>158</v>
      </c>
      <c r="P113" s="43" t="s">
        <v>158</v>
      </c>
    </row>
    <row r="114" s="11" customFormat="1" spans="1:16">
      <c r="A114" s="32" t="s">
        <v>186</v>
      </c>
      <c r="B114" s="28" t="s">
        <v>218</v>
      </c>
      <c r="C114" s="28" t="s">
        <v>219</v>
      </c>
      <c r="D114" s="33" t="str">
        <f>+IFERROR(VLOOKUP(C114,Data,4,FALSE),"Not in data")</f>
        <v>Not in data</v>
      </c>
      <c r="E114" s="34" t="s">
        <v>148</v>
      </c>
      <c r="F114" s="30">
        <v>1</v>
      </c>
      <c r="G114" s="30">
        <v>8</v>
      </c>
      <c r="H114" s="31">
        <v>8.2</v>
      </c>
      <c r="I114" s="40">
        <f t="shared" si="21"/>
        <v>65.6</v>
      </c>
      <c r="J114" s="31" t="str">
        <f>+IFERROR(VLOOKUP(C114,Data,2,FALSE),"Not in weight table")</f>
        <v>Not in weight table</v>
      </c>
      <c r="K114" s="31" t="str">
        <f>+IFERROR(VLOOKUP(C114,Data,3,FALSE),"Not in weight table")</f>
        <v>Not in weight table</v>
      </c>
      <c r="L114" s="44">
        <f t="shared" si="22"/>
        <v>0</v>
      </c>
      <c r="M114" s="42">
        <f t="shared" si="23"/>
        <v>0</v>
      </c>
      <c r="N114" s="43" t="s">
        <v>158</v>
      </c>
      <c r="O114" s="43" t="s">
        <v>158</v>
      </c>
      <c r="P114" s="43" t="s">
        <v>158</v>
      </c>
    </row>
    <row r="115" s="11" customFormat="1" spans="1:16">
      <c r="A115" s="32" t="s">
        <v>186</v>
      </c>
      <c r="B115" s="28" t="s">
        <v>218</v>
      </c>
      <c r="C115" s="28" t="s">
        <v>219</v>
      </c>
      <c r="D115" s="33" t="str">
        <f>+IFERROR(VLOOKUP(C115,Data,4,FALSE),"Not in data")</f>
        <v>Not in data</v>
      </c>
      <c r="E115" s="34" t="s">
        <v>148</v>
      </c>
      <c r="F115" s="30">
        <v>1</v>
      </c>
      <c r="G115" s="30">
        <v>11</v>
      </c>
      <c r="H115" s="31">
        <v>8.4</v>
      </c>
      <c r="I115" s="40">
        <f t="shared" si="21"/>
        <v>92.4</v>
      </c>
      <c r="J115" s="31" t="str">
        <f>+IFERROR(VLOOKUP(C115,Data,2,FALSE),"Not in weight table")</f>
        <v>Not in weight table</v>
      </c>
      <c r="K115" s="31" t="str">
        <f>+IFERROR(VLOOKUP(C115,Data,3,FALSE),"Not in weight table")</f>
        <v>Not in weight table</v>
      </c>
      <c r="L115" s="44">
        <f t="shared" si="22"/>
        <v>0</v>
      </c>
      <c r="M115" s="42">
        <f t="shared" si="23"/>
        <v>0</v>
      </c>
      <c r="N115" s="43" t="s">
        <v>158</v>
      </c>
      <c r="O115" s="43" t="s">
        <v>158</v>
      </c>
      <c r="P115" s="43" t="s">
        <v>158</v>
      </c>
    </row>
    <row r="116" s="11" customFormat="1" spans="1:16">
      <c r="A116" s="32" t="s">
        <v>186</v>
      </c>
      <c r="B116" s="28" t="s">
        <v>218</v>
      </c>
      <c r="C116" s="28" t="s">
        <v>219</v>
      </c>
      <c r="D116" s="33" t="str">
        <f>+IFERROR(VLOOKUP(C116,Data,4,FALSE),"Not in data")</f>
        <v>Not in data</v>
      </c>
      <c r="E116" s="34" t="s">
        <v>148</v>
      </c>
      <c r="F116" s="30">
        <v>1</v>
      </c>
      <c r="G116" s="30">
        <v>11</v>
      </c>
      <c r="H116" s="31">
        <v>4.2</v>
      </c>
      <c r="I116" s="40">
        <f t="shared" si="21"/>
        <v>46.2</v>
      </c>
      <c r="J116" s="31" t="str">
        <f>+IFERROR(VLOOKUP(C116,Data,2,FALSE),"Not in weight table")</f>
        <v>Not in weight table</v>
      </c>
      <c r="K116" s="31" t="str">
        <f>+IFERROR(VLOOKUP(C116,Data,3,FALSE),"Not in weight table")</f>
        <v>Not in weight table</v>
      </c>
      <c r="L116" s="44">
        <f t="shared" si="22"/>
        <v>0</v>
      </c>
      <c r="M116" s="42">
        <f t="shared" si="23"/>
        <v>0</v>
      </c>
      <c r="N116" s="43" t="s">
        <v>158</v>
      </c>
      <c r="O116" s="43" t="s">
        <v>158</v>
      </c>
      <c r="P116" s="43" t="s">
        <v>158</v>
      </c>
    </row>
    <row r="117" s="11" customFormat="1" spans="1:16">
      <c r="A117" s="32" t="s">
        <v>186</v>
      </c>
      <c r="B117" s="28" t="s">
        <v>218</v>
      </c>
      <c r="C117" s="28" t="s">
        <v>219</v>
      </c>
      <c r="D117" s="33" t="str">
        <f>+IFERROR(VLOOKUP(C117,Data,4,FALSE),"Not in data")</f>
        <v>Not in data</v>
      </c>
      <c r="E117" s="34" t="s">
        <v>148</v>
      </c>
      <c r="F117" s="30">
        <v>1</v>
      </c>
      <c r="G117" s="30">
        <v>8</v>
      </c>
      <c r="H117" s="31">
        <v>7.97</v>
      </c>
      <c r="I117" s="40">
        <f t="shared" si="21"/>
        <v>63.76</v>
      </c>
      <c r="J117" s="31" t="str">
        <f>+IFERROR(VLOOKUP(C117,Data,2,FALSE),"Not in weight table")</f>
        <v>Not in weight table</v>
      </c>
      <c r="K117" s="31" t="str">
        <f>+IFERROR(VLOOKUP(C117,Data,3,FALSE),"Not in weight table")</f>
        <v>Not in weight table</v>
      </c>
      <c r="L117" s="44">
        <f t="shared" si="22"/>
        <v>0</v>
      </c>
      <c r="M117" s="42">
        <f t="shared" si="23"/>
        <v>0</v>
      </c>
      <c r="N117" s="43" t="s">
        <v>158</v>
      </c>
      <c r="O117" s="43" t="s">
        <v>158</v>
      </c>
      <c r="P117" s="43" t="s">
        <v>158</v>
      </c>
    </row>
    <row r="118" s="11" customFormat="1" spans="1:16">
      <c r="A118" s="32" t="s">
        <v>186</v>
      </c>
      <c r="B118" s="28" t="s">
        <v>218</v>
      </c>
      <c r="C118" s="28" t="s">
        <v>219</v>
      </c>
      <c r="D118" s="33" t="str">
        <f>+IFERROR(VLOOKUP(C118,Data,4,FALSE),"Not in data")</f>
        <v>Not in data</v>
      </c>
      <c r="E118" s="34" t="s">
        <v>148</v>
      </c>
      <c r="F118" s="30">
        <v>1</v>
      </c>
      <c r="G118" s="30">
        <v>8</v>
      </c>
      <c r="H118" s="31">
        <v>8.1</v>
      </c>
      <c r="I118" s="40">
        <f t="shared" si="21"/>
        <v>64.8</v>
      </c>
      <c r="J118" s="31" t="str">
        <f>+IFERROR(VLOOKUP(C118,Data,2,FALSE),"Not in weight table")</f>
        <v>Not in weight table</v>
      </c>
      <c r="K118" s="31" t="str">
        <f>+IFERROR(VLOOKUP(C118,Data,3,FALSE),"Not in weight table")</f>
        <v>Not in weight table</v>
      </c>
      <c r="L118" s="44">
        <f t="shared" si="22"/>
        <v>0</v>
      </c>
      <c r="M118" s="42">
        <f t="shared" si="23"/>
        <v>0</v>
      </c>
      <c r="N118" s="43" t="s">
        <v>158</v>
      </c>
      <c r="O118" s="43" t="s">
        <v>158</v>
      </c>
      <c r="P118" s="43" t="s">
        <v>158</v>
      </c>
    </row>
    <row r="119" s="11" customFormat="1" spans="1:16">
      <c r="A119" s="32" t="s">
        <v>186</v>
      </c>
      <c r="B119" s="28" t="s">
        <v>218</v>
      </c>
      <c r="C119" s="28" t="s">
        <v>219</v>
      </c>
      <c r="D119" s="33" t="str">
        <f>+IFERROR(VLOOKUP(C119,Data,4,FALSE),"Not in data")</f>
        <v>Not in data</v>
      </c>
      <c r="E119" s="34" t="s">
        <v>148</v>
      </c>
      <c r="F119" s="30">
        <v>1</v>
      </c>
      <c r="G119" s="30">
        <v>8</v>
      </c>
      <c r="H119" s="31">
        <v>8.2</v>
      </c>
      <c r="I119" s="40">
        <f t="shared" si="21"/>
        <v>65.6</v>
      </c>
      <c r="J119" s="31" t="str">
        <f>+IFERROR(VLOOKUP(C119,Data,2,FALSE),"Not in weight table")</f>
        <v>Not in weight table</v>
      </c>
      <c r="K119" s="31" t="str">
        <f>+IFERROR(VLOOKUP(C119,Data,3,FALSE),"Not in weight table")</f>
        <v>Not in weight table</v>
      </c>
      <c r="L119" s="44">
        <f t="shared" si="22"/>
        <v>0</v>
      </c>
      <c r="M119" s="42">
        <f t="shared" si="23"/>
        <v>0</v>
      </c>
      <c r="N119" s="43" t="s">
        <v>158</v>
      </c>
      <c r="O119" s="43" t="s">
        <v>158</v>
      </c>
      <c r="P119" s="43" t="s">
        <v>158</v>
      </c>
    </row>
    <row r="120" s="11" customFormat="1" spans="1:16">
      <c r="A120" s="32" t="s">
        <v>186</v>
      </c>
      <c r="B120" s="28" t="s">
        <v>218</v>
      </c>
      <c r="C120" s="28" t="s">
        <v>219</v>
      </c>
      <c r="D120" s="33" t="str">
        <f>+IFERROR(VLOOKUP(C120,Data,4,FALSE),"Not in data")</f>
        <v>Not in data</v>
      </c>
      <c r="E120" s="34" t="s">
        <v>148</v>
      </c>
      <c r="F120" s="30">
        <v>1</v>
      </c>
      <c r="G120" s="30">
        <v>11</v>
      </c>
      <c r="H120" s="31">
        <v>8.4</v>
      </c>
      <c r="I120" s="40">
        <f t="shared" si="21"/>
        <v>92.4</v>
      </c>
      <c r="J120" s="31" t="str">
        <f>+IFERROR(VLOOKUP(C120,Data,2,FALSE),"Not in weight table")</f>
        <v>Not in weight table</v>
      </c>
      <c r="K120" s="31" t="str">
        <f>+IFERROR(VLOOKUP(C120,Data,3,FALSE),"Not in weight table")</f>
        <v>Not in weight table</v>
      </c>
      <c r="L120" s="44">
        <f t="shared" si="22"/>
        <v>0</v>
      </c>
      <c r="M120" s="42">
        <f t="shared" si="23"/>
        <v>0</v>
      </c>
      <c r="N120" s="43" t="s">
        <v>158</v>
      </c>
      <c r="O120" s="43" t="s">
        <v>158</v>
      </c>
      <c r="P120" s="43" t="s">
        <v>158</v>
      </c>
    </row>
    <row r="121" s="11" customFormat="1" spans="1:16">
      <c r="A121" s="32" t="s">
        <v>186</v>
      </c>
      <c r="B121" s="28" t="s">
        <v>218</v>
      </c>
      <c r="C121" s="28" t="s">
        <v>219</v>
      </c>
      <c r="D121" s="33" t="str">
        <f>+IFERROR(VLOOKUP(C121,Data,4,FALSE),"Not in data")</f>
        <v>Not in data</v>
      </c>
      <c r="E121" s="34" t="s">
        <v>148</v>
      </c>
      <c r="F121" s="30">
        <v>1</v>
      </c>
      <c r="G121" s="30">
        <v>11</v>
      </c>
      <c r="H121" s="31">
        <v>4.2</v>
      </c>
      <c r="I121" s="40">
        <f t="shared" si="21"/>
        <v>46.2</v>
      </c>
      <c r="J121" s="31" t="str">
        <f>+IFERROR(VLOOKUP(C121,Data,2,FALSE),"Not in weight table")</f>
        <v>Not in weight table</v>
      </c>
      <c r="K121" s="31" t="str">
        <f>+IFERROR(VLOOKUP(C121,Data,3,FALSE),"Not in weight table")</f>
        <v>Not in weight table</v>
      </c>
      <c r="L121" s="44">
        <f t="shared" si="22"/>
        <v>0</v>
      </c>
      <c r="M121" s="42">
        <f t="shared" si="23"/>
        <v>0</v>
      </c>
      <c r="N121" s="43" t="s">
        <v>158</v>
      </c>
      <c r="O121" s="43" t="s">
        <v>158</v>
      </c>
      <c r="P121" s="43" t="s">
        <v>158</v>
      </c>
    </row>
    <row r="122" s="11" customFormat="1" spans="1:16">
      <c r="A122" s="32" t="s">
        <v>186</v>
      </c>
      <c r="B122" s="28" t="s">
        <v>220</v>
      </c>
      <c r="C122" s="28" t="s">
        <v>219</v>
      </c>
      <c r="D122" s="33" t="str">
        <f>+IFERROR(VLOOKUP(C122,Data,4,FALSE),"Not in data")</f>
        <v>Not in data</v>
      </c>
      <c r="E122" s="34" t="s">
        <v>148</v>
      </c>
      <c r="F122" s="30">
        <v>1</v>
      </c>
      <c r="G122" s="30">
        <v>16</v>
      </c>
      <c r="H122" s="31">
        <v>8.46</v>
      </c>
      <c r="I122" s="40">
        <f t="shared" si="21"/>
        <v>135.36</v>
      </c>
      <c r="J122" s="31" t="str">
        <f>+IFERROR(VLOOKUP(C122,Data,2,FALSE),"Not in weight table")</f>
        <v>Not in weight table</v>
      </c>
      <c r="K122" s="31" t="str">
        <f>+IFERROR(VLOOKUP(C122,Data,3,FALSE),"Not in weight table")</f>
        <v>Not in weight table</v>
      </c>
      <c r="L122" s="44">
        <f t="shared" si="22"/>
        <v>0</v>
      </c>
      <c r="M122" s="42">
        <f t="shared" si="23"/>
        <v>0</v>
      </c>
      <c r="N122" s="43" t="s">
        <v>158</v>
      </c>
      <c r="O122" s="43" t="s">
        <v>158</v>
      </c>
      <c r="P122" s="43" t="s">
        <v>158</v>
      </c>
    </row>
    <row r="123" s="11" customFormat="1" spans="1:16">
      <c r="A123" s="32" t="s">
        <v>186</v>
      </c>
      <c r="B123" s="28" t="s">
        <v>220</v>
      </c>
      <c r="C123" s="28" t="s">
        <v>219</v>
      </c>
      <c r="D123" s="33" t="str">
        <f>+IFERROR(VLOOKUP(C123,Data,4,FALSE),"Not in data")</f>
        <v>Not in data</v>
      </c>
      <c r="E123" s="34" t="s">
        <v>148</v>
      </c>
      <c r="F123" s="30">
        <v>1</v>
      </c>
      <c r="G123" s="30">
        <v>16</v>
      </c>
      <c r="H123" s="31">
        <v>4.28</v>
      </c>
      <c r="I123" s="40">
        <f t="shared" ref="I123:I128" si="24">+IF(F123&lt;&gt;"",F123*G123*H123,0)</f>
        <v>68.48</v>
      </c>
      <c r="J123" s="31" t="str">
        <f>+IFERROR(VLOOKUP(C123,Data,2,FALSE),"Not in weight table")</f>
        <v>Not in weight table</v>
      </c>
      <c r="K123" s="31" t="str">
        <f>+IFERROR(VLOOKUP(C123,Data,3,FALSE),"Not in weight table")</f>
        <v>Not in weight table</v>
      </c>
      <c r="L123" s="44">
        <f t="shared" ref="L123:L128" si="25">+IF(ISNUMBER(J123),I123*J123/1000,0)</f>
        <v>0</v>
      </c>
      <c r="M123" s="42">
        <f t="shared" ref="M123:M128" si="26">+IF(ISNUMBER(K123),I123*K123,0)</f>
        <v>0</v>
      </c>
      <c r="N123" s="43" t="s">
        <v>158</v>
      </c>
      <c r="O123" s="43" t="s">
        <v>158</v>
      </c>
      <c r="P123" s="43" t="s">
        <v>158</v>
      </c>
    </row>
    <row r="124" s="11" customFormat="1" spans="1:16">
      <c r="A124" s="32" t="s">
        <v>186</v>
      </c>
      <c r="B124" s="28" t="s">
        <v>220</v>
      </c>
      <c r="C124" s="28" t="s">
        <v>219</v>
      </c>
      <c r="D124" s="33" t="str">
        <f>+IFERROR(VLOOKUP(C124,Data,4,FALSE),"Not in data")</f>
        <v>Not in data</v>
      </c>
      <c r="E124" s="34" t="s">
        <v>148</v>
      </c>
      <c r="F124" s="30">
        <v>1</v>
      </c>
      <c r="G124" s="30">
        <v>16</v>
      </c>
      <c r="H124" s="31">
        <v>7.32</v>
      </c>
      <c r="I124" s="40">
        <f t="shared" si="24"/>
        <v>117.12</v>
      </c>
      <c r="J124" s="31" t="str">
        <f>+IFERROR(VLOOKUP(C124,Data,2,FALSE),"Not in weight table")</f>
        <v>Not in weight table</v>
      </c>
      <c r="K124" s="31" t="str">
        <f>+IFERROR(VLOOKUP(C124,Data,3,FALSE),"Not in weight table")</f>
        <v>Not in weight table</v>
      </c>
      <c r="L124" s="44">
        <f t="shared" si="25"/>
        <v>0</v>
      </c>
      <c r="M124" s="42">
        <f t="shared" si="26"/>
        <v>0</v>
      </c>
      <c r="N124" s="43" t="s">
        <v>158</v>
      </c>
      <c r="O124" s="43" t="s">
        <v>158</v>
      </c>
      <c r="P124" s="43" t="s">
        <v>158</v>
      </c>
    </row>
    <row r="125" s="11" customFormat="1" spans="1:16">
      <c r="A125" s="32" t="s">
        <v>186</v>
      </c>
      <c r="B125" s="28" t="s">
        <v>220</v>
      </c>
      <c r="C125" s="28" t="s">
        <v>219</v>
      </c>
      <c r="D125" s="33" t="str">
        <f>+IFERROR(VLOOKUP(C125,Data,4,FALSE),"Not in data")</f>
        <v>Not in data</v>
      </c>
      <c r="E125" s="34" t="s">
        <v>148</v>
      </c>
      <c r="F125" s="30">
        <v>1</v>
      </c>
      <c r="G125" s="30">
        <v>16</v>
      </c>
      <c r="H125" s="31">
        <v>3.81</v>
      </c>
      <c r="I125" s="40">
        <f t="shared" si="24"/>
        <v>60.96</v>
      </c>
      <c r="J125" s="31" t="str">
        <f>+IFERROR(VLOOKUP(C125,Data,2,FALSE),"Not in weight table")</f>
        <v>Not in weight table</v>
      </c>
      <c r="K125" s="31" t="str">
        <f>+IFERROR(VLOOKUP(C125,Data,3,FALSE),"Not in weight table")</f>
        <v>Not in weight table</v>
      </c>
      <c r="L125" s="44">
        <f t="shared" si="25"/>
        <v>0</v>
      </c>
      <c r="M125" s="42">
        <f t="shared" si="26"/>
        <v>0</v>
      </c>
      <c r="N125" s="43" t="s">
        <v>158</v>
      </c>
      <c r="O125" s="43" t="s">
        <v>158</v>
      </c>
      <c r="P125" s="43" t="s">
        <v>158</v>
      </c>
    </row>
    <row r="126" s="11" customFormat="1" spans="1:16">
      <c r="A126" s="32" t="s">
        <v>186</v>
      </c>
      <c r="B126" s="28" t="s">
        <v>220</v>
      </c>
      <c r="C126" s="28" t="s">
        <v>219</v>
      </c>
      <c r="D126" s="33" t="str">
        <f>+IFERROR(VLOOKUP(C126,Data,4,FALSE),"Not in data")</f>
        <v>Not in data</v>
      </c>
      <c r="E126" s="34" t="s">
        <v>148</v>
      </c>
      <c r="F126" s="30">
        <v>1</v>
      </c>
      <c r="G126" s="30">
        <v>16</v>
      </c>
      <c r="H126" s="31">
        <v>8.28</v>
      </c>
      <c r="I126" s="40">
        <f t="shared" si="24"/>
        <v>132.48</v>
      </c>
      <c r="J126" s="31" t="str">
        <f>+IFERROR(VLOOKUP(C126,Data,2,FALSE),"Not in weight table")</f>
        <v>Not in weight table</v>
      </c>
      <c r="K126" s="31" t="str">
        <f>+IFERROR(VLOOKUP(C126,Data,3,FALSE),"Not in weight table")</f>
        <v>Not in weight table</v>
      </c>
      <c r="L126" s="44">
        <f t="shared" si="25"/>
        <v>0</v>
      </c>
      <c r="M126" s="42">
        <f t="shared" si="26"/>
        <v>0</v>
      </c>
      <c r="N126" s="43" t="s">
        <v>158</v>
      </c>
      <c r="O126" s="43" t="s">
        <v>158</v>
      </c>
      <c r="P126" s="43" t="s">
        <v>158</v>
      </c>
    </row>
    <row r="127" s="11" customFormat="1" spans="1:16">
      <c r="A127" s="32" t="s">
        <v>186</v>
      </c>
      <c r="B127" s="28" t="s">
        <v>220</v>
      </c>
      <c r="C127" s="28" t="s">
        <v>219</v>
      </c>
      <c r="D127" s="33" t="str">
        <f>+IFERROR(VLOOKUP(C127,Data,4,FALSE),"Not in data")</f>
        <v>Not in data</v>
      </c>
      <c r="E127" s="34" t="s">
        <v>148</v>
      </c>
      <c r="F127" s="30">
        <v>1</v>
      </c>
      <c r="G127" s="30">
        <v>16</v>
      </c>
      <c r="H127" s="31">
        <v>8.2</v>
      </c>
      <c r="I127" s="40">
        <f t="shared" si="24"/>
        <v>131.2</v>
      </c>
      <c r="J127" s="31" t="str">
        <f>+IFERROR(VLOOKUP(C127,Data,2,FALSE),"Not in weight table")</f>
        <v>Not in weight table</v>
      </c>
      <c r="K127" s="31" t="str">
        <f>+IFERROR(VLOOKUP(C127,Data,3,FALSE),"Not in weight table")</f>
        <v>Not in weight table</v>
      </c>
      <c r="L127" s="44">
        <f t="shared" si="25"/>
        <v>0</v>
      </c>
      <c r="M127" s="42">
        <f t="shared" si="26"/>
        <v>0</v>
      </c>
      <c r="N127" s="43" t="s">
        <v>158</v>
      </c>
      <c r="O127" s="43" t="s">
        <v>158</v>
      </c>
      <c r="P127" s="43" t="s">
        <v>158</v>
      </c>
    </row>
    <row r="128" s="11" customFormat="1" spans="1:16">
      <c r="A128" s="32" t="s">
        <v>186</v>
      </c>
      <c r="B128" s="28" t="s">
        <v>221</v>
      </c>
      <c r="C128" s="28" t="s">
        <v>222</v>
      </c>
      <c r="D128" s="33" t="str">
        <f>+IFERROR(VLOOKUP(C128,Data,4,FALSE),"Not in data")</f>
        <v>Not in data</v>
      </c>
      <c r="E128" s="34" t="s">
        <v>148</v>
      </c>
      <c r="F128" s="30">
        <v>1</v>
      </c>
      <c r="G128" s="30">
        <v>6</v>
      </c>
      <c r="H128" s="31">
        <v>3.1</v>
      </c>
      <c r="I128" s="40">
        <f t="shared" si="24"/>
        <v>18.6</v>
      </c>
      <c r="J128" s="31" t="str">
        <f>+IFERROR(VLOOKUP(C128,Data,2,FALSE),"Not in weight table")</f>
        <v>Not in weight table</v>
      </c>
      <c r="K128" s="31" t="str">
        <f>+IFERROR(VLOOKUP(C128,Data,3,FALSE),"Not in weight table")</f>
        <v>Not in weight table</v>
      </c>
      <c r="L128" s="44">
        <f t="shared" si="25"/>
        <v>0</v>
      </c>
      <c r="M128" s="42">
        <f t="shared" si="26"/>
        <v>0</v>
      </c>
      <c r="N128" s="43" t="s">
        <v>158</v>
      </c>
      <c r="O128" s="43" t="s">
        <v>158</v>
      </c>
      <c r="P128" s="43" t="s">
        <v>158</v>
      </c>
    </row>
    <row r="129" s="11" customFormat="1" spans="1:16">
      <c r="A129" s="27" t="s">
        <v>223</v>
      </c>
      <c r="B129" s="28"/>
      <c r="C129" s="28"/>
      <c r="D129" s="33"/>
      <c r="E129" s="34"/>
      <c r="F129" s="30"/>
      <c r="G129" s="30"/>
      <c r="H129" s="31"/>
      <c r="I129" s="40"/>
      <c r="J129" s="31"/>
      <c r="K129" s="31"/>
      <c r="L129" s="44"/>
      <c r="M129" s="42"/>
      <c r="N129" s="43"/>
      <c r="O129" s="43"/>
      <c r="P129" s="43"/>
    </row>
    <row r="130" s="11" customFormat="1" spans="1:16">
      <c r="A130" s="32" t="s">
        <v>183</v>
      </c>
      <c r="B130" s="28" t="s">
        <v>184</v>
      </c>
      <c r="C130" s="28" t="s">
        <v>185</v>
      </c>
      <c r="D130" s="33" t="str">
        <f>+IFERROR(VLOOKUP(C130,Data,4,FALSE),"Not in data")</f>
        <v>Not in data</v>
      </c>
      <c r="E130" s="34" t="s">
        <v>149</v>
      </c>
      <c r="F130" s="30">
        <v>1</v>
      </c>
      <c r="G130" s="30">
        <v>3</v>
      </c>
      <c r="H130" s="31">
        <v>5.6</v>
      </c>
      <c r="I130" s="40">
        <f t="shared" ref="I130:I138" si="27">+IF(F130&lt;&gt;"",F130*G130*H130,0)</f>
        <v>16.8</v>
      </c>
      <c r="J130" s="31" t="str">
        <f>+IFERROR(VLOOKUP(C130,Data,2,FALSE),"Not in weight table")</f>
        <v>Not in weight table</v>
      </c>
      <c r="K130" s="31" t="str">
        <f>+IFERROR(VLOOKUP(C130,Data,3,FALSE),"Not in weight table")</f>
        <v>Not in weight table</v>
      </c>
      <c r="L130" s="44">
        <f t="shared" ref="L130:L138" si="28">+IF(ISNUMBER(J130),I130*J130/1000,0)</f>
        <v>0</v>
      </c>
      <c r="M130" s="42">
        <f t="shared" ref="M130:M138" si="29">+IF(ISNUMBER(K130),I130*K130,0)</f>
        <v>0</v>
      </c>
      <c r="N130" s="43" t="s">
        <v>158</v>
      </c>
      <c r="O130" s="43" t="s">
        <v>158</v>
      </c>
      <c r="P130" s="43" t="s">
        <v>158</v>
      </c>
    </row>
    <row r="131" s="11" customFormat="1" spans="1:16">
      <c r="A131" s="32" t="s">
        <v>183</v>
      </c>
      <c r="B131" s="28" t="s">
        <v>184</v>
      </c>
      <c r="C131" s="28" t="s">
        <v>185</v>
      </c>
      <c r="D131" s="33" t="str">
        <f>+IFERROR(VLOOKUP(C131,Data,4,FALSE),"Not in data")</f>
        <v>Not in data</v>
      </c>
      <c r="E131" s="34" t="s">
        <v>149</v>
      </c>
      <c r="F131" s="30">
        <v>1</v>
      </c>
      <c r="G131" s="30">
        <v>3</v>
      </c>
      <c r="H131" s="31">
        <v>3.4</v>
      </c>
      <c r="I131" s="40">
        <f t="shared" si="27"/>
        <v>10.2</v>
      </c>
      <c r="J131" s="31" t="str">
        <f>+IFERROR(VLOOKUP(C131,Data,2,FALSE),"Not in weight table")</f>
        <v>Not in weight table</v>
      </c>
      <c r="K131" s="31" t="str">
        <f>+IFERROR(VLOOKUP(C131,Data,3,FALSE),"Not in weight table")</f>
        <v>Not in weight table</v>
      </c>
      <c r="L131" s="44">
        <f t="shared" si="28"/>
        <v>0</v>
      </c>
      <c r="M131" s="42">
        <f t="shared" si="29"/>
        <v>0</v>
      </c>
      <c r="N131" s="43" t="s">
        <v>158</v>
      </c>
      <c r="O131" s="43" t="s">
        <v>158</v>
      </c>
      <c r="P131" s="43" t="s">
        <v>158</v>
      </c>
    </row>
    <row r="132" s="11" customFormat="1" spans="1:16">
      <c r="A132" s="32" t="s">
        <v>183</v>
      </c>
      <c r="B132" s="28" t="s">
        <v>224</v>
      </c>
      <c r="C132" s="28" t="s">
        <v>225</v>
      </c>
      <c r="D132" s="33" t="str">
        <f>+IFERROR(VLOOKUP(C132,Data,4,FALSE),"Not in data")</f>
        <v>T</v>
      </c>
      <c r="E132" s="34" t="s">
        <v>149</v>
      </c>
      <c r="F132" s="30">
        <v>1</v>
      </c>
      <c r="G132" s="30">
        <v>3</v>
      </c>
      <c r="H132" s="31">
        <v>4.9</v>
      </c>
      <c r="I132" s="40">
        <f t="shared" si="27"/>
        <v>14.7</v>
      </c>
      <c r="J132" s="31">
        <f>+IFERROR(VLOOKUP(C132,Data,2,FALSE),"Not in weight table")</f>
        <v>26.2</v>
      </c>
      <c r="K132" s="31">
        <f>+IFERROR(VLOOKUP(C132,Data,3,FALSE),"Not in weight table")</f>
        <v>0.574</v>
      </c>
      <c r="L132" s="44">
        <f t="shared" si="28"/>
        <v>0.38514</v>
      </c>
      <c r="M132" s="42">
        <f t="shared" si="29"/>
        <v>8.4378</v>
      </c>
      <c r="N132" s="43" t="s">
        <v>158</v>
      </c>
      <c r="O132" s="43" t="s">
        <v>158</v>
      </c>
      <c r="P132" s="43" t="s">
        <v>158</v>
      </c>
    </row>
    <row r="133" s="11" customFormat="1" spans="1:16">
      <c r="A133" s="32" t="s">
        <v>183</v>
      </c>
      <c r="B133" s="28" t="s">
        <v>226</v>
      </c>
      <c r="C133" s="28" t="s">
        <v>225</v>
      </c>
      <c r="D133" s="33" t="str">
        <f>+IFERROR(VLOOKUP(C133,Data,4,FALSE),"Not in data")</f>
        <v>T</v>
      </c>
      <c r="E133" s="34" t="s">
        <v>149</v>
      </c>
      <c r="F133" s="30">
        <v>1</v>
      </c>
      <c r="G133" s="30">
        <v>3</v>
      </c>
      <c r="H133" s="31">
        <v>4.2</v>
      </c>
      <c r="I133" s="40">
        <f t="shared" si="27"/>
        <v>12.6</v>
      </c>
      <c r="J133" s="31">
        <f>+IFERROR(VLOOKUP(C133,Data,2,FALSE),"Not in weight table")</f>
        <v>26.2</v>
      </c>
      <c r="K133" s="31">
        <f>+IFERROR(VLOOKUP(C133,Data,3,FALSE),"Not in weight table")</f>
        <v>0.574</v>
      </c>
      <c r="L133" s="44">
        <f t="shared" si="28"/>
        <v>0.33012</v>
      </c>
      <c r="M133" s="42">
        <f t="shared" si="29"/>
        <v>7.2324</v>
      </c>
      <c r="N133" s="43" t="s">
        <v>158</v>
      </c>
      <c r="O133" s="43" t="s">
        <v>158</v>
      </c>
      <c r="P133" s="43" t="s">
        <v>158</v>
      </c>
    </row>
    <row r="134" s="11" customFormat="1" spans="1:16">
      <c r="A134" s="32" t="s">
        <v>183</v>
      </c>
      <c r="B134" s="28" t="s">
        <v>226</v>
      </c>
      <c r="C134" s="28" t="s">
        <v>225</v>
      </c>
      <c r="D134" s="33" t="str">
        <f>+IFERROR(VLOOKUP(C134,Data,4,FALSE),"Not in data")</f>
        <v>T</v>
      </c>
      <c r="E134" s="34" t="s">
        <v>149</v>
      </c>
      <c r="F134" s="30">
        <v>1</v>
      </c>
      <c r="G134" s="30">
        <v>2</v>
      </c>
      <c r="H134" s="31">
        <v>3.8</v>
      </c>
      <c r="I134" s="40">
        <f t="shared" si="27"/>
        <v>7.6</v>
      </c>
      <c r="J134" s="31">
        <f>+IFERROR(VLOOKUP(C134,Data,2,FALSE),"Not in weight table")</f>
        <v>26.2</v>
      </c>
      <c r="K134" s="31">
        <f>+IFERROR(VLOOKUP(C134,Data,3,FALSE),"Not in weight table")</f>
        <v>0.574</v>
      </c>
      <c r="L134" s="44">
        <f t="shared" si="28"/>
        <v>0.19912</v>
      </c>
      <c r="M134" s="42">
        <f t="shared" si="29"/>
        <v>4.3624</v>
      </c>
      <c r="N134" s="43" t="s">
        <v>158</v>
      </c>
      <c r="O134" s="43" t="s">
        <v>158</v>
      </c>
      <c r="P134" s="43" t="s">
        <v>158</v>
      </c>
    </row>
    <row r="135" s="11" customFormat="1" spans="1:16">
      <c r="A135" s="32" t="s">
        <v>183</v>
      </c>
      <c r="B135" s="28" t="s">
        <v>224</v>
      </c>
      <c r="C135" s="28" t="s">
        <v>225</v>
      </c>
      <c r="D135" s="33" t="str">
        <f>+IFERROR(VLOOKUP(C135,Data,4,FALSE),"Not in data")</f>
        <v>T</v>
      </c>
      <c r="E135" s="34" t="s">
        <v>149</v>
      </c>
      <c r="F135" s="30">
        <v>1</v>
      </c>
      <c r="G135" s="30">
        <v>1</v>
      </c>
      <c r="H135" s="31">
        <v>5.3</v>
      </c>
      <c r="I135" s="40">
        <f t="shared" si="27"/>
        <v>5.3</v>
      </c>
      <c r="J135" s="31">
        <f>+IFERROR(VLOOKUP(C135,Data,2,FALSE),"Not in weight table")</f>
        <v>26.2</v>
      </c>
      <c r="K135" s="31">
        <f>+IFERROR(VLOOKUP(C135,Data,3,FALSE),"Not in weight table")</f>
        <v>0.574</v>
      </c>
      <c r="L135" s="44">
        <f t="shared" si="28"/>
        <v>0.13886</v>
      </c>
      <c r="M135" s="42">
        <f t="shared" si="29"/>
        <v>3.0422</v>
      </c>
      <c r="N135" s="43" t="s">
        <v>158</v>
      </c>
      <c r="O135" s="43" t="s">
        <v>158</v>
      </c>
      <c r="P135" s="43" t="s">
        <v>158</v>
      </c>
    </row>
    <row r="136" s="11" customFormat="1" spans="1:16">
      <c r="A136" s="32" t="s">
        <v>183</v>
      </c>
      <c r="B136" s="28" t="s">
        <v>227</v>
      </c>
      <c r="C136" s="28" t="s">
        <v>228</v>
      </c>
      <c r="D136" s="33" t="str">
        <f>+IFERROR(VLOOKUP(C136,Data,4,FALSE),"Not in data")</f>
        <v>S</v>
      </c>
      <c r="E136" s="34" t="s">
        <v>149</v>
      </c>
      <c r="F136" s="30">
        <v>1</v>
      </c>
      <c r="G136" s="30">
        <v>3</v>
      </c>
      <c r="H136" s="31">
        <v>19.5</v>
      </c>
      <c r="I136" s="40">
        <f t="shared" si="27"/>
        <v>58.5</v>
      </c>
      <c r="J136" s="31">
        <f>+IFERROR(VLOOKUP(C136,Data,2,FALSE),"Not in weight table")</f>
        <v>67.1</v>
      </c>
      <c r="K136" s="31">
        <f>+IFERROR(VLOOKUP(C136,Data,3,FALSE),"Not in weight table")</f>
        <v>1.63</v>
      </c>
      <c r="L136" s="44">
        <f t="shared" si="28"/>
        <v>3.92535</v>
      </c>
      <c r="M136" s="42">
        <f t="shared" si="29"/>
        <v>95.355</v>
      </c>
      <c r="N136" s="43" t="s">
        <v>158</v>
      </c>
      <c r="O136" s="43" t="s">
        <v>158</v>
      </c>
      <c r="P136" s="43" t="s">
        <v>158</v>
      </c>
    </row>
    <row r="137" s="11" customFormat="1" spans="1:16">
      <c r="A137" s="32" t="s">
        <v>183</v>
      </c>
      <c r="B137" s="28" t="s">
        <v>229</v>
      </c>
      <c r="C137" s="28" t="s">
        <v>230</v>
      </c>
      <c r="D137" s="33" t="str">
        <f>+IFERROR(VLOOKUP(C137,Data,4,FALSE),"Not in data")</f>
        <v>S</v>
      </c>
      <c r="E137" s="34" t="s">
        <v>149</v>
      </c>
      <c r="F137" s="30">
        <v>1</v>
      </c>
      <c r="G137" s="30">
        <v>3</v>
      </c>
      <c r="H137" s="31">
        <v>5.1</v>
      </c>
      <c r="I137" s="40">
        <f t="shared" si="27"/>
        <v>15.3</v>
      </c>
      <c r="J137" s="31">
        <f>+IFERROR(VLOOKUP(C137,Data,2,FALSE),"Not in weight table")</f>
        <v>46.2</v>
      </c>
      <c r="K137" s="31">
        <f>+IFERROR(VLOOKUP(C137,Data,3,FALSE),"Not in weight table")</f>
        <v>1.19</v>
      </c>
      <c r="L137" s="44">
        <f t="shared" si="28"/>
        <v>0.70686</v>
      </c>
      <c r="M137" s="42">
        <f t="shared" si="29"/>
        <v>18.207</v>
      </c>
      <c r="N137" s="43" t="s">
        <v>158</v>
      </c>
      <c r="O137" s="43" t="s">
        <v>158</v>
      </c>
      <c r="P137" s="43" t="s">
        <v>158</v>
      </c>
    </row>
    <row r="138" s="11" customFormat="1" spans="1:16">
      <c r="A138" s="32" t="s">
        <v>183</v>
      </c>
      <c r="B138" s="28" t="s">
        <v>193</v>
      </c>
      <c r="C138" s="28" t="s">
        <v>194</v>
      </c>
      <c r="D138" s="33" t="str">
        <f>+IFERROR(VLOOKUP(C138,Data,4,FALSE),"Not in data")</f>
        <v>T</v>
      </c>
      <c r="E138" s="34" t="s">
        <v>149</v>
      </c>
      <c r="F138" s="30">
        <v>1</v>
      </c>
      <c r="G138" s="30">
        <v>2</v>
      </c>
      <c r="H138" s="31">
        <v>5.94</v>
      </c>
      <c r="I138" s="40">
        <f t="shared" si="27"/>
        <v>11.88</v>
      </c>
      <c r="J138" s="31">
        <f>+IFERROR(VLOOKUP(C138,Data,2,FALSE),"Not in weight table")</f>
        <v>17.9</v>
      </c>
      <c r="K138" s="31">
        <f>+IFERROR(VLOOKUP(C138,Data,3,FALSE),"Not in weight table")</f>
        <v>0.583</v>
      </c>
      <c r="L138" s="44">
        <f t="shared" si="28"/>
        <v>0.212652</v>
      </c>
      <c r="M138" s="42">
        <f t="shared" si="29"/>
        <v>6.92604</v>
      </c>
      <c r="N138" s="43" t="s">
        <v>158</v>
      </c>
      <c r="O138" s="43" t="s">
        <v>158</v>
      </c>
      <c r="P138" s="43" t="s">
        <v>158</v>
      </c>
    </row>
    <row r="139" s="11" customFormat="1" spans="1:16">
      <c r="A139" s="27" t="s">
        <v>231</v>
      </c>
      <c r="B139" s="28"/>
      <c r="C139" s="28"/>
      <c r="D139" s="33"/>
      <c r="E139" s="34"/>
      <c r="F139" s="30"/>
      <c r="G139" s="30"/>
      <c r="H139" s="31"/>
      <c r="I139" s="40"/>
      <c r="J139" s="31"/>
      <c r="K139" s="31"/>
      <c r="L139" s="44"/>
      <c r="M139" s="42"/>
      <c r="N139" s="43"/>
      <c r="O139" s="43"/>
      <c r="P139" s="43"/>
    </row>
    <row r="140" s="11" customFormat="1" spans="1:16">
      <c r="A140" s="32" t="s">
        <v>232</v>
      </c>
      <c r="B140" s="28" t="s">
        <v>224</v>
      </c>
      <c r="C140" s="28" t="s">
        <v>225</v>
      </c>
      <c r="D140" s="33" t="str">
        <f>+IFERROR(VLOOKUP(C140,Data,4,FALSE),"Not in data")</f>
        <v>T</v>
      </c>
      <c r="E140" s="34" t="s">
        <v>149</v>
      </c>
      <c r="F140" s="30">
        <v>1</v>
      </c>
      <c r="G140" s="30">
        <v>7</v>
      </c>
      <c r="H140" s="31">
        <v>5.3</v>
      </c>
      <c r="I140" s="40">
        <f t="shared" ref="I140:I147" si="30">+IF(F140&lt;&gt;"",F140*G140*H140,0)</f>
        <v>37.1</v>
      </c>
      <c r="J140" s="31">
        <f>+IFERROR(VLOOKUP(C140,Data,2,FALSE),"Not in weight table")</f>
        <v>26.2</v>
      </c>
      <c r="K140" s="31">
        <f>+IFERROR(VLOOKUP(C140,Data,3,FALSE),"Not in weight table")</f>
        <v>0.574</v>
      </c>
      <c r="L140" s="44">
        <f t="shared" ref="L140:L147" si="31">+IF(ISNUMBER(J140),I140*J140/1000,0)</f>
        <v>0.97202</v>
      </c>
      <c r="M140" s="42">
        <f t="shared" ref="M140:M147" si="32">+IF(ISNUMBER(K140),I140*K140,0)</f>
        <v>21.2954</v>
      </c>
      <c r="N140" s="43" t="s">
        <v>158</v>
      </c>
      <c r="O140" s="43" t="s">
        <v>158</v>
      </c>
      <c r="P140" s="43" t="s">
        <v>158</v>
      </c>
    </row>
    <row r="141" s="11" customFormat="1" spans="1:16">
      <c r="A141" s="32" t="s">
        <v>232</v>
      </c>
      <c r="B141" s="28" t="s">
        <v>184</v>
      </c>
      <c r="C141" s="28" t="s">
        <v>185</v>
      </c>
      <c r="D141" s="33" t="str">
        <f>+IFERROR(VLOOKUP(C141,Data,4,FALSE),"Not in data")</f>
        <v>Not in data</v>
      </c>
      <c r="E141" s="34" t="s">
        <v>149</v>
      </c>
      <c r="F141" s="30">
        <v>1</v>
      </c>
      <c r="G141" s="30">
        <v>8</v>
      </c>
      <c r="H141" s="31">
        <v>5.3</v>
      </c>
      <c r="I141" s="40">
        <f t="shared" si="30"/>
        <v>42.4</v>
      </c>
      <c r="J141" s="31" t="str">
        <f>+IFERROR(VLOOKUP(C141,Data,2,FALSE),"Not in weight table")</f>
        <v>Not in weight table</v>
      </c>
      <c r="K141" s="31" t="str">
        <f>+IFERROR(VLOOKUP(C141,Data,3,FALSE),"Not in weight table")</f>
        <v>Not in weight table</v>
      </c>
      <c r="L141" s="44">
        <f t="shared" si="31"/>
        <v>0</v>
      </c>
      <c r="M141" s="42">
        <f t="shared" si="32"/>
        <v>0</v>
      </c>
      <c r="N141" s="43" t="s">
        <v>158</v>
      </c>
      <c r="O141" s="43" t="s">
        <v>158</v>
      </c>
      <c r="P141" s="43" t="s">
        <v>158</v>
      </c>
    </row>
    <row r="142" s="11" customFormat="1" spans="1:16">
      <c r="A142" s="32" t="s">
        <v>232</v>
      </c>
      <c r="B142" s="28" t="s">
        <v>201</v>
      </c>
      <c r="C142" s="28" t="s">
        <v>202</v>
      </c>
      <c r="D142" s="33" t="str">
        <f>+IFERROR(VLOOKUP(C142,Data,4,FALSE),"Not in data")</f>
        <v>T</v>
      </c>
      <c r="E142" s="34" t="s">
        <v>149</v>
      </c>
      <c r="F142" s="30">
        <v>1</v>
      </c>
      <c r="G142" s="30">
        <v>1</v>
      </c>
      <c r="H142" s="31">
        <v>8.75</v>
      </c>
      <c r="I142" s="40">
        <f t="shared" si="30"/>
        <v>8.75</v>
      </c>
      <c r="J142" s="31">
        <f>+IFERROR(VLOOKUP(C142,Data,2,FALSE),"Not in weight table")</f>
        <v>19.4</v>
      </c>
      <c r="K142" s="31">
        <f>+IFERROR(VLOOKUP(C142,Data,3,FALSE),"Not in weight table")</f>
        <v>0.529</v>
      </c>
      <c r="L142" s="44">
        <f t="shared" si="31"/>
        <v>0.16975</v>
      </c>
      <c r="M142" s="42">
        <f t="shared" si="32"/>
        <v>4.62875</v>
      </c>
      <c r="N142" s="43" t="s">
        <v>158</v>
      </c>
      <c r="O142" s="43" t="s">
        <v>158</v>
      </c>
      <c r="P142" s="43" t="s">
        <v>158</v>
      </c>
    </row>
    <row r="143" s="11" customFormat="1" spans="1:16">
      <c r="A143" s="32" t="s">
        <v>232</v>
      </c>
      <c r="B143" s="28" t="s">
        <v>195</v>
      </c>
      <c r="C143" s="28" t="s">
        <v>192</v>
      </c>
      <c r="D143" s="33" t="str">
        <f>+IFERROR(VLOOKUP(C143,Data,4,FALSE),"Not in data")</f>
        <v>T</v>
      </c>
      <c r="E143" s="34" t="s">
        <v>149</v>
      </c>
      <c r="F143" s="30">
        <v>1</v>
      </c>
      <c r="G143" s="30">
        <v>1</v>
      </c>
      <c r="H143" s="31">
        <v>2.94</v>
      </c>
      <c r="I143" s="40">
        <f t="shared" si="30"/>
        <v>2.94</v>
      </c>
      <c r="J143" s="31">
        <f>+IFERROR(VLOOKUP(C143,Data,2,FALSE),"Not in weight table")</f>
        <v>14.6</v>
      </c>
      <c r="K143" s="31">
        <f>+IFERROR(VLOOKUP(C143,Data,3,FALSE),"Not in weight table")</f>
        <v>0.33</v>
      </c>
      <c r="L143" s="44">
        <f t="shared" si="31"/>
        <v>0.042924</v>
      </c>
      <c r="M143" s="42">
        <f t="shared" si="32"/>
        <v>0.9702</v>
      </c>
      <c r="N143" s="43" t="s">
        <v>158</v>
      </c>
      <c r="O143" s="43" t="s">
        <v>158</v>
      </c>
      <c r="P143" s="43" t="s">
        <v>158</v>
      </c>
    </row>
    <row r="144" s="11" customFormat="1" spans="1:16">
      <c r="A144" s="32" t="s">
        <v>232</v>
      </c>
      <c r="B144" s="28" t="s">
        <v>195</v>
      </c>
      <c r="C144" s="28" t="s">
        <v>192</v>
      </c>
      <c r="D144" s="33" t="str">
        <f>+IFERROR(VLOOKUP(C144,Data,4,FALSE),"Not in data")</f>
        <v>T</v>
      </c>
      <c r="E144" s="34" t="s">
        <v>149</v>
      </c>
      <c r="F144" s="30">
        <v>1</v>
      </c>
      <c r="G144" s="30">
        <v>1</v>
      </c>
      <c r="H144" s="31">
        <v>4.22</v>
      </c>
      <c r="I144" s="40">
        <f t="shared" si="30"/>
        <v>4.22</v>
      </c>
      <c r="J144" s="31">
        <f>+IFERROR(VLOOKUP(C144,Data,2,FALSE),"Not in weight table")</f>
        <v>14.6</v>
      </c>
      <c r="K144" s="31">
        <f>+IFERROR(VLOOKUP(C144,Data,3,FALSE),"Not in weight table")</f>
        <v>0.33</v>
      </c>
      <c r="L144" s="44">
        <f t="shared" si="31"/>
        <v>0.061612</v>
      </c>
      <c r="M144" s="42">
        <f t="shared" si="32"/>
        <v>1.3926</v>
      </c>
      <c r="N144" s="43" t="s">
        <v>158</v>
      </c>
      <c r="O144" s="43" t="s">
        <v>158</v>
      </c>
      <c r="P144" s="43" t="s">
        <v>158</v>
      </c>
    </row>
    <row r="145" s="11" customFormat="1" spans="1:16">
      <c r="A145" s="32" t="s">
        <v>232</v>
      </c>
      <c r="B145" s="28" t="s">
        <v>233</v>
      </c>
      <c r="C145" s="28" t="s">
        <v>234</v>
      </c>
      <c r="D145" s="33" t="str">
        <f>+IFERROR(VLOOKUP(C145,Data,4,FALSE),"Not in data")</f>
        <v>S</v>
      </c>
      <c r="E145" s="34" t="s">
        <v>149</v>
      </c>
      <c r="F145" s="30">
        <v>1</v>
      </c>
      <c r="G145" s="30">
        <v>1</v>
      </c>
      <c r="H145" s="31">
        <v>15.1</v>
      </c>
      <c r="I145" s="40">
        <f t="shared" si="30"/>
        <v>15.1</v>
      </c>
      <c r="J145" s="31">
        <f>+IFERROR(VLOOKUP(C145,Data,2,FALSE),"Not in weight table")</f>
        <v>35.5</v>
      </c>
      <c r="K145" s="31">
        <f>+IFERROR(VLOOKUP(C145,Data,3,FALSE),"Not in weight table")</f>
        <v>0.822</v>
      </c>
      <c r="L145" s="44">
        <f t="shared" si="31"/>
        <v>0.53605</v>
      </c>
      <c r="M145" s="42">
        <f t="shared" si="32"/>
        <v>12.4122</v>
      </c>
      <c r="N145" s="43" t="s">
        <v>158</v>
      </c>
      <c r="O145" s="43" t="s">
        <v>158</v>
      </c>
      <c r="P145" s="43" t="s">
        <v>158</v>
      </c>
    </row>
    <row r="146" s="11" customFormat="1" spans="1:16">
      <c r="A146" s="32" t="s">
        <v>232</v>
      </c>
      <c r="B146" s="28" t="s">
        <v>208</v>
      </c>
      <c r="C146" s="28" t="s">
        <v>235</v>
      </c>
      <c r="D146" s="33" t="str">
        <f>+IFERROR(VLOOKUP(C146,Data,4,FALSE),"Not in data")</f>
        <v>S</v>
      </c>
      <c r="E146" s="34" t="s">
        <v>149</v>
      </c>
      <c r="F146" s="30">
        <v>1</v>
      </c>
      <c r="G146" s="30">
        <v>1</v>
      </c>
      <c r="H146" s="31">
        <v>15.1</v>
      </c>
      <c r="I146" s="40">
        <f t="shared" si="30"/>
        <v>15.1</v>
      </c>
      <c r="J146" s="31">
        <f>+IFERROR(VLOOKUP(C146,Data,2,FALSE),"Not in weight table")</f>
        <v>25.7</v>
      </c>
      <c r="K146" s="31">
        <f>+IFERROR(VLOOKUP(C146,Data,3,FALSE),"Not in weight table")</f>
        <v>0.961</v>
      </c>
      <c r="L146" s="44">
        <f t="shared" si="31"/>
        <v>0.38807</v>
      </c>
      <c r="M146" s="42">
        <f t="shared" si="32"/>
        <v>14.5111</v>
      </c>
      <c r="N146" s="43" t="s">
        <v>158</v>
      </c>
      <c r="O146" s="43" t="s">
        <v>158</v>
      </c>
      <c r="P146" s="43" t="s">
        <v>158</v>
      </c>
    </row>
    <row r="147" s="11" customFormat="1" spans="1:16">
      <c r="A147" s="32" t="s">
        <v>232</v>
      </c>
      <c r="B147" s="28" t="s">
        <v>236</v>
      </c>
      <c r="C147" s="28" t="s">
        <v>192</v>
      </c>
      <c r="D147" s="33" t="str">
        <f>+IFERROR(VLOOKUP(C147,Data,4,FALSE),"Not in data")</f>
        <v>T</v>
      </c>
      <c r="E147" s="34" t="s">
        <v>149</v>
      </c>
      <c r="F147" s="30">
        <v>1</v>
      </c>
      <c r="G147" s="30">
        <v>2</v>
      </c>
      <c r="H147" s="31">
        <v>4.9</v>
      </c>
      <c r="I147" s="40">
        <f t="shared" si="30"/>
        <v>9.8</v>
      </c>
      <c r="J147" s="31">
        <f>+IFERROR(VLOOKUP(C147,Data,2,FALSE),"Not in weight table")</f>
        <v>14.6</v>
      </c>
      <c r="K147" s="31">
        <f>+IFERROR(VLOOKUP(C147,Data,3,FALSE),"Not in weight table")</f>
        <v>0.33</v>
      </c>
      <c r="L147" s="44">
        <f t="shared" si="31"/>
        <v>0.14308</v>
      </c>
      <c r="M147" s="42">
        <f t="shared" si="32"/>
        <v>3.234</v>
      </c>
      <c r="N147" s="43" t="s">
        <v>158</v>
      </c>
      <c r="O147" s="43" t="s">
        <v>158</v>
      </c>
      <c r="P147" s="43" t="s">
        <v>158</v>
      </c>
    </row>
    <row r="148" s="11" customFormat="1" spans="1:16">
      <c r="A148" s="27" t="s">
        <v>237</v>
      </c>
      <c r="B148" s="28"/>
      <c r="C148" s="28"/>
      <c r="D148" s="33"/>
      <c r="E148" s="34"/>
      <c r="F148" s="30"/>
      <c r="G148" s="30"/>
      <c r="H148" s="31"/>
      <c r="I148" s="40"/>
      <c r="J148" s="31"/>
      <c r="K148" s="31"/>
      <c r="L148" s="44"/>
      <c r="M148" s="42"/>
      <c r="N148" s="43"/>
      <c r="O148" s="43"/>
      <c r="P148" s="43"/>
    </row>
    <row r="149" s="11" customFormat="1" spans="1:16">
      <c r="A149" s="32" t="s">
        <v>232</v>
      </c>
      <c r="B149" s="28" t="s">
        <v>238</v>
      </c>
      <c r="C149" s="28" t="s">
        <v>194</v>
      </c>
      <c r="D149" s="33" t="str">
        <f>+IFERROR(VLOOKUP(C149,Data,4,FALSE),"Not in data")</f>
        <v>T</v>
      </c>
      <c r="E149" s="34" t="s">
        <v>149</v>
      </c>
      <c r="F149" s="30">
        <v>1</v>
      </c>
      <c r="G149" s="30">
        <v>1</v>
      </c>
      <c r="H149" s="31">
        <v>11.9</v>
      </c>
      <c r="I149" s="40">
        <f t="shared" ref="I149:I185" si="33">+IF(F149&lt;&gt;"",F149*G149*H149,0)</f>
        <v>11.9</v>
      </c>
      <c r="J149" s="31">
        <f>+IFERROR(VLOOKUP(C149,Data,2,FALSE),"Not in weight table")</f>
        <v>17.9</v>
      </c>
      <c r="K149" s="31">
        <f>+IFERROR(VLOOKUP(C149,Data,3,FALSE),"Not in weight table")</f>
        <v>0.583</v>
      </c>
      <c r="L149" s="44">
        <f t="shared" ref="L149:L185" si="34">+IF(ISNUMBER(J149),I149*J149/1000,0)</f>
        <v>0.21301</v>
      </c>
      <c r="M149" s="42">
        <f t="shared" ref="M149:M185" si="35">+IF(ISNUMBER(K149),I149*K149,0)</f>
        <v>6.9377</v>
      </c>
      <c r="N149" s="43" t="s">
        <v>158</v>
      </c>
      <c r="O149" s="43" t="s">
        <v>158</v>
      </c>
      <c r="P149" s="43" t="s">
        <v>158</v>
      </c>
    </row>
    <row r="150" s="11" customFormat="1" spans="1:16">
      <c r="A150" s="32" t="s">
        <v>183</v>
      </c>
      <c r="B150" s="28" t="s">
        <v>193</v>
      </c>
      <c r="C150" s="28" t="s">
        <v>194</v>
      </c>
      <c r="D150" s="33" t="str">
        <f>+IFERROR(VLOOKUP(C150,Data,4,FALSE),"Not in data")</f>
        <v>T</v>
      </c>
      <c r="E150" s="34" t="s">
        <v>149</v>
      </c>
      <c r="F150" s="30">
        <v>1</v>
      </c>
      <c r="G150" s="30">
        <v>2</v>
      </c>
      <c r="H150" s="31">
        <v>5.78</v>
      </c>
      <c r="I150" s="40">
        <f t="shared" si="33"/>
        <v>11.56</v>
      </c>
      <c r="J150" s="31">
        <f>+IFERROR(VLOOKUP(C150,Data,2,FALSE),"Not in weight table")</f>
        <v>17.9</v>
      </c>
      <c r="K150" s="31">
        <f>+IFERROR(VLOOKUP(C150,Data,3,FALSE),"Not in weight table")</f>
        <v>0.583</v>
      </c>
      <c r="L150" s="44">
        <f t="shared" si="34"/>
        <v>0.206924</v>
      </c>
      <c r="M150" s="42">
        <f t="shared" si="35"/>
        <v>6.73948</v>
      </c>
      <c r="N150" s="43" t="s">
        <v>158</v>
      </c>
      <c r="O150" s="43" t="s">
        <v>158</v>
      </c>
      <c r="P150" s="43" t="s">
        <v>158</v>
      </c>
    </row>
    <row r="151" s="11" customFormat="1" spans="1:16">
      <c r="A151" s="32" t="s">
        <v>232</v>
      </c>
      <c r="B151" s="28" t="s">
        <v>199</v>
      </c>
      <c r="C151" s="28" t="s">
        <v>200</v>
      </c>
      <c r="D151" s="33" t="str">
        <f>+IFERROR(VLOOKUP(C151,Data,4,FALSE),"Not in data")</f>
        <v>Not in data</v>
      </c>
      <c r="E151" s="34" t="s">
        <v>149</v>
      </c>
      <c r="F151" s="30">
        <v>1</v>
      </c>
      <c r="G151" s="30">
        <v>1</v>
      </c>
      <c r="H151" s="31">
        <v>4.9</v>
      </c>
      <c r="I151" s="40">
        <f t="shared" si="33"/>
        <v>4.9</v>
      </c>
      <c r="J151" s="31" t="str">
        <f>+IFERROR(VLOOKUP(C151,Data,2,FALSE),"Not in weight table")</f>
        <v>Not in weight table</v>
      </c>
      <c r="K151" s="31" t="str">
        <f>+IFERROR(VLOOKUP(C151,Data,3,FALSE),"Not in weight table")</f>
        <v>Not in weight table</v>
      </c>
      <c r="L151" s="44">
        <f t="shared" si="34"/>
        <v>0</v>
      </c>
      <c r="M151" s="42">
        <f t="shared" si="35"/>
        <v>0</v>
      </c>
      <c r="N151" s="43" t="s">
        <v>158</v>
      </c>
      <c r="O151" s="43" t="s">
        <v>158</v>
      </c>
      <c r="P151" s="43" t="s">
        <v>158</v>
      </c>
    </row>
    <row r="152" s="11" customFormat="1" spans="1:16">
      <c r="A152" s="32" t="s">
        <v>232</v>
      </c>
      <c r="B152" s="28" t="s">
        <v>239</v>
      </c>
      <c r="C152" s="28" t="s">
        <v>240</v>
      </c>
      <c r="D152" s="33" t="str">
        <f>+IFERROR(VLOOKUP(C152,Data,4,FALSE),"Not in data")</f>
        <v>S</v>
      </c>
      <c r="E152" s="34" t="s">
        <v>149</v>
      </c>
      <c r="F152" s="30">
        <v>1</v>
      </c>
      <c r="G152" s="30">
        <v>1</v>
      </c>
      <c r="H152" s="31">
        <v>9.7</v>
      </c>
      <c r="I152" s="40">
        <f t="shared" si="33"/>
        <v>9.7</v>
      </c>
      <c r="J152" s="31">
        <f>+IFERROR(VLOOKUP(C152,Data,2,FALSE),"Not in weight table")</f>
        <v>44.7</v>
      </c>
      <c r="K152" s="31">
        <f>+IFERROR(VLOOKUP(C152,Data,3,FALSE),"Not in weight table")</f>
        <v>1.36</v>
      </c>
      <c r="L152" s="44">
        <f t="shared" si="34"/>
        <v>0.43359</v>
      </c>
      <c r="M152" s="42">
        <f t="shared" si="35"/>
        <v>13.192</v>
      </c>
      <c r="N152" s="43" t="s">
        <v>158</v>
      </c>
      <c r="O152" s="43" t="s">
        <v>158</v>
      </c>
      <c r="P152" s="43" t="s">
        <v>158</v>
      </c>
    </row>
    <row r="153" s="11" customFormat="1" spans="1:16">
      <c r="A153" s="32" t="s">
        <v>186</v>
      </c>
      <c r="B153" s="28" t="s">
        <v>236</v>
      </c>
      <c r="C153" s="28" t="s">
        <v>192</v>
      </c>
      <c r="D153" s="33" t="str">
        <f>+IFERROR(VLOOKUP(C153,Data,4,FALSE),"Not in data")</f>
        <v>T</v>
      </c>
      <c r="E153" s="34" t="s">
        <v>149</v>
      </c>
      <c r="F153" s="30">
        <v>1</v>
      </c>
      <c r="G153" s="30">
        <v>1</v>
      </c>
      <c r="H153" s="31">
        <v>7.7</v>
      </c>
      <c r="I153" s="40">
        <f t="shared" si="33"/>
        <v>7.7</v>
      </c>
      <c r="J153" s="31">
        <f>+IFERROR(VLOOKUP(C153,Data,2,FALSE),"Not in weight table")</f>
        <v>14.6</v>
      </c>
      <c r="K153" s="31">
        <f>+IFERROR(VLOOKUP(C153,Data,3,FALSE),"Not in weight table")</f>
        <v>0.33</v>
      </c>
      <c r="L153" s="44">
        <f t="shared" si="34"/>
        <v>0.11242</v>
      </c>
      <c r="M153" s="42">
        <f t="shared" si="35"/>
        <v>2.541</v>
      </c>
      <c r="N153" s="43" t="s">
        <v>158</v>
      </c>
      <c r="O153" s="43" t="s">
        <v>158</v>
      </c>
      <c r="P153" s="43" t="s">
        <v>158</v>
      </c>
    </row>
    <row r="154" s="11" customFormat="1" spans="1:16">
      <c r="A154" s="32" t="s">
        <v>186</v>
      </c>
      <c r="B154" s="28" t="s">
        <v>208</v>
      </c>
      <c r="C154" s="28" t="s">
        <v>235</v>
      </c>
      <c r="D154" s="33" t="str">
        <f>+IFERROR(VLOOKUP(C154,Data,4,FALSE),"Not in data")</f>
        <v>S</v>
      </c>
      <c r="E154" s="34" t="s">
        <v>149</v>
      </c>
      <c r="F154" s="30">
        <v>1</v>
      </c>
      <c r="G154" s="30">
        <v>1</v>
      </c>
      <c r="H154" s="31">
        <v>7.2</v>
      </c>
      <c r="I154" s="40">
        <f t="shared" si="33"/>
        <v>7.2</v>
      </c>
      <c r="J154" s="31">
        <f>+IFERROR(VLOOKUP(C154,Data,2,FALSE),"Not in weight table")</f>
        <v>25.7</v>
      </c>
      <c r="K154" s="31">
        <f>+IFERROR(VLOOKUP(C154,Data,3,FALSE),"Not in weight table")</f>
        <v>0.961</v>
      </c>
      <c r="L154" s="44">
        <f t="shared" si="34"/>
        <v>0.18504</v>
      </c>
      <c r="M154" s="42">
        <f t="shared" si="35"/>
        <v>6.9192</v>
      </c>
      <c r="N154" s="43" t="s">
        <v>158</v>
      </c>
      <c r="O154" s="43" t="s">
        <v>158</v>
      </c>
      <c r="P154" s="43" t="s">
        <v>158</v>
      </c>
    </row>
    <row r="155" s="11" customFormat="1" spans="1:16">
      <c r="A155" s="32" t="s">
        <v>186</v>
      </c>
      <c r="B155" s="28" t="s">
        <v>208</v>
      </c>
      <c r="C155" s="28" t="s">
        <v>235</v>
      </c>
      <c r="D155" s="33" t="str">
        <f>+IFERROR(VLOOKUP(C155,Data,4,FALSE),"Not in data")</f>
        <v>S</v>
      </c>
      <c r="E155" s="34" t="s">
        <v>149</v>
      </c>
      <c r="F155" s="30">
        <v>1</v>
      </c>
      <c r="G155" s="30">
        <v>1</v>
      </c>
      <c r="H155" s="31">
        <v>5.6</v>
      </c>
      <c r="I155" s="40">
        <f t="shared" si="33"/>
        <v>5.6</v>
      </c>
      <c r="J155" s="31">
        <f>+IFERROR(VLOOKUP(C155,Data,2,FALSE),"Not in weight table")</f>
        <v>25.7</v>
      </c>
      <c r="K155" s="31">
        <f>+IFERROR(VLOOKUP(C155,Data,3,FALSE),"Not in weight table")</f>
        <v>0.961</v>
      </c>
      <c r="L155" s="44">
        <f t="shared" si="34"/>
        <v>0.14392</v>
      </c>
      <c r="M155" s="42">
        <f t="shared" si="35"/>
        <v>5.3816</v>
      </c>
      <c r="N155" s="43" t="s">
        <v>158</v>
      </c>
      <c r="O155" s="43" t="s">
        <v>158</v>
      </c>
      <c r="P155" s="43" t="s">
        <v>158</v>
      </c>
    </row>
    <row r="156" s="11" customFormat="1" spans="1:16">
      <c r="A156" s="32" t="s">
        <v>186</v>
      </c>
      <c r="B156" s="28" t="s">
        <v>208</v>
      </c>
      <c r="C156" s="28" t="s">
        <v>235</v>
      </c>
      <c r="D156" s="33" t="str">
        <f>+IFERROR(VLOOKUP(C156,Data,4,FALSE),"Not in data")</f>
        <v>S</v>
      </c>
      <c r="E156" s="34" t="s">
        <v>149</v>
      </c>
      <c r="F156" s="30">
        <v>1</v>
      </c>
      <c r="G156" s="30">
        <v>1</v>
      </c>
      <c r="H156" s="31">
        <v>10.3</v>
      </c>
      <c r="I156" s="40">
        <f t="shared" si="33"/>
        <v>10.3</v>
      </c>
      <c r="J156" s="31">
        <f>+IFERROR(VLOOKUP(C156,Data,2,FALSE),"Not in weight table")</f>
        <v>25.7</v>
      </c>
      <c r="K156" s="31">
        <f>+IFERROR(VLOOKUP(C156,Data,3,FALSE),"Not in weight table")</f>
        <v>0.961</v>
      </c>
      <c r="L156" s="44">
        <f t="shared" si="34"/>
        <v>0.26471</v>
      </c>
      <c r="M156" s="42">
        <f t="shared" si="35"/>
        <v>9.8983</v>
      </c>
      <c r="N156" s="43" t="s">
        <v>158</v>
      </c>
      <c r="O156" s="43" t="s">
        <v>158</v>
      </c>
      <c r="P156" s="43" t="s">
        <v>158</v>
      </c>
    </row>
    <row r="157" s="11" customFormat="1" spans="1:16">
      <c r="A157" s="32" t="s">
        <v>186</v>
      </c>
      <c r="B157" s="28" t="s">
        <v>236</v>
      </c>
      <c r="C157" s="28" t="s">
        <v>192</v>
      </c>
      <c r="D157" s="33" t="str">
        <f>+IFERROR(VLOOKUP(C157,Data,4,FALSE),"Not in data")</f>
        <v>T</v>
      </c>
      <c r="E157" s="34" t="s">
        <v>149</v>
      </c>
      <c r="F157" s="30">
        <v>1</v>
      </c>
      <c r="G157" s="30">
        <v>1</v>
      </c>
      <c r="H157" s="31">
        <v>10.3</v>
      </c>
      <c r="I157" s="40">
        <f t="shared" si="33"/>
        <v>10.3</v>
      </c>
      <c r="J157" s="31">
        <f>+IFERROR(VLOOKUP(C157,Data,2,FALSE),"Not in weight table")</f>
        <v>14.6</v>
      </c>
      <c r="K157" s="31">
        <f>+IFERROR(VLOOKUP(C157,Data,3,FALSE),"Not in weight table")</f>
        <v>0.33</v>
      </c>
      <c r="L157" s="44">
        <f t="shared" si="34"/>
        <v>0.15038</v>
      </c>
      <c r="M157" s="42">
        <f t="shared" si="35"/>
        <v>3.399</v>
      </c>
      <c r="N157" s="43" t="s">
        <v>158</v>
      </c>
      <c r="O157" s="43" t="s">
        <v>158</v>
      </c>
      <c r="P157" s="43" t="s">
        <v>158</v>
      </c>
    </row>
    <row r="158" s="11" customFormat="1" spans="1:16">
      <c r="A158" s="32" t="s">
        <v>186</v>
      </c>
      <c r="B158" s="28" t="s">
        <v>199</v>
      </c>
      <c r="C158" s="28" t="s">
        <v>200</v>
      </c>
      <c r="D158" s="33" t="str">
        <f>+IFERROR(VLOOKUP(C158,Data,4,FALSE),"Not in data")</f>
        <v>Not in data</v>
      </c>
      <c r="E158" s="34" t="s">
        <v>149</v>
      </c>
      <c r="F158" s="30">
        <v>1</v>
      </c>
      <c r="G158" s="30">
        <v>1</v>
      </c>
      <c r="H158" s="31">
        <v>7.2</v>
      </c>
      <c r="I158" s="40">
        <f t="shared" si="33"/>
        <v>7.2</v>
      </c>
      <c r="J158" s="31" t="str">
        <f>+IFERROR(VLOOKUP(C158,Data,2,FALSE),"Not in weight table")</f>
        <v>Not in weight table</v>
      </c>
      <c r="K158" s="31" t="str">
        <f>+IFERROR(VLOOKUP(C158,Data,3,FALSE),"Not in weight table")</f>
        <v>Not in weight table</v>
      </c>
      <c r="L158" s="44">
        <f t="shared" si="34"/>
        <v>0</v>
      </c>
      <c r="M158" s="42">
        <f t="shared" si="35"/>
        <v>0</v>
      </c>
      <c r="N158" s="43" t="s">
        <v>158</v>
      </c>
      <c r="O158" s="43" t="s">
        <v>158</v>
      </c>
      <c r="P158" s="43" t="s">
        <v>158</v>
      </c>
    </row>
    <row r="159" s="11" customFormat="1" spans="1:16">
      <c r="A159" s="32" t="s">
        <v>186</v>
      </c>
      <c r="B159" s="28" t="s">
        <v>199</v>
      </c>
      <c r="C159" s="28" t="s">
        <v>200</v>
      </c>
      <c r="D159" s="33" t="str">
        <f>+IFERROR(VLOOKUP(C159,Data,4,FALSE),"Not in data")</f>
        <v>Not in data</v>
      </c>
      <c r="E159" s="34" t="s">
        <v>149</v>
      </c>
      <c r="F159" s="30">
        <v>1</v>
      </c>
      <c r="G159" s="30">
        <v>1</v>
      </c>
      <c r="H159" s="31">
        <v>8.8</v>
      </c>
      <c r="I159" s="40">
        <f t="shared" si="33"/>
        <v>8.8</v>
      </c>
      <c r="J159" s="31" t="str">
        <f>+IFERROR(VLOOKUP(C159,Data,2,FALSE),"Not in weight table")</f>
        <v>Not in weight table</v>
      </c>
      <c r="K159" s="31" t="str">
        <f>+IFERROR(VLOOKUP(C159,Data,3,FALSE),"Not in weight table")</f>
        <v>Not in weight table</v>
      </c>
      <c r="L159" s="44">
        <f t="shared" si="34"/>
        <v>0</v>
      </c>
      <c r="M159" s="42">
        <f t="shared" si="35"/>
        <v>0</v>
      </c>
      <c r="N159" s="43" t="s">
        <v>158</v>
      </c>
      <c r="O159" s="43" t="s">
        <v>158</v>
      </c>
      <c r="P159" s="43" t="s">
        <v>158</v>
      </c>
    </row>
    <row r="160" s="11" customFormat="1" spans="1:16">
      <c r="A160" s="32" t="s">
        <v>186</v>
      </c>
      <c r="B160" s="28" t="s">
        <v>199</v>
      </c>
      <c r="C160" s="28" t="s">
        <v>200</v>
      </c>
      <c r="D160" s="33" t="str">
        <f>+IFERROR(VLOOKUP(C160,Data,4,FALSE),"Not in data")</f>
        <v>Not in data</v>
      </c>
      <c r="E160" s="34" t="s">
        <v>149</v>
      </c>
      <c r="F160" s="30">
        <v>1</v>
      </c>
      <c r="G160" s="30">
        <v>1</v>
      </c>
      <c r="H160" s="31">
        <v>7.1</v>
      </c>
      <c r="I160" s="40">
        <f t="shared" si="33"/>
        <v>7.1</v>
      </c>
      <c r="J160" s="31" t="str">
        <f>+IFERROR(VLOOKUP(C160,Data,2,FALSE),"Not in weight table")</f>
        <v>Not in weight table</v>
      </c>
      <c r="K160" s="31" t="str">
        <f>+IFERROR(VLOOKUP(C160,Data,3,FALSE),"Not in weight table")</f>
        <v>Not in weight table</v>
      </c>
      <c r="L160" s="44">
        <f t="shared" si="34"/>
        <v>0</v>
      </c>
      <c r="M160" s="42">
        <f t="shared" si="35"/>
        <v>0</v>
      </c>
      <c r="N160" s="43" t="s">
        <v>158</v>
      </c>
      <c r="O160" s="43" t="s">
        <v>158</v>
      </c>
      <c r="P160" s="43" t="s">
        <v>158</v>
      </c>
    </row>
    <row r="161" s="11" customFormat="1" spans="1:16">
      <c r="A161" s="32" t="s">
        <v>186</v>
      </c>
      <c r="B161" s="28" t="s">
        <v>193</v>
      </c>
      <c r="C161" s="28" t="s">
        <v>194</v>
      </c>
      <c r="D161" s="33" t="str">
        <f>+IFERROR(VLOOKUP(C161,Data,4,FALSE),"Not in data")</f>
        <v>T</v>
      </c>
      <c r="E161" s="34" t="s">
        <v>149</v>
      </c>
      <c r="F161" s="30">
        <v>1</v>
      </c>
      <c r="G161" s="30">
        <v>2</v>
      </c>
      <c r="H161" s="31">
        <v>5.3</v>
      </c>
      <c r="I161" s="40">
        <f t="shared" si="33"/>
        <v>10.6</v>
      </c>
      <c r="J161" s="31">
        <f>+IFERROR(VLOOKUP(C161,Data,2,FALSE),"Not in weight table")</f>
        <v>17.9</v>
      </c>
      <c r="K161" s="31">
        <f>+IFERROR(VLOOKUP(C161,Data,3,FALSE),"Not in weight table")</f>
        <v>0.583</v>
      </c>
      <c r="L161" s="44">
        <f t="shared" si="34"/>
        <v>0.18974</v>
      </c>
      <c r="M161" s="42">
        <f t="shared" si="35"/>
        <v>6.1798</v>
      </c>
      <c r="N161" s="43" t="s">
        <v>158</v>
      </c>
      <c r="O161" s="43" t="s">
        <v>158</v>
      </c>
      <c r="P161" s="43" t="s">
        <v>158</v>
      </c>
    </row>
    <row r="162" s="11" customFormat="1" spans="1:16">
      <c r="A162" s="32" t="s">
        <v>186</v>
      </c>
      <c r="B162" s="28" t="s">
        <v>239</v>
      </c>
      <c r="C162" s="28" t="s">
        <v>240</v>
      </c>
      <c r="D162" s="33" t="str">
        <f>+IFERROR(VLOOKUP(C162,Data,4,FALSE),"Not in data")</f>
        <v>S</v>
      </c>
      <c r="E162" s="34" t="s">
        <v>149</v>
      </c>
      <c r="F162" s="30">
        <v>1</v>
      </c>
      <c r="G162" s="30">
        <v>1</v>
      </c>
      <c r="H162" s="31">
        <v>15.4</v>
      </c>
      <c r="I162" s="40">
        <f t="shared" si="33"/>
        <v>15.4</v>
      </c>
      <c r="J162" s="31">
        <f>+IFERROR(VLOOKUP(C162,Data,2,FALSE),"Not in weight table")</f>
        <v>44.7</v>
      </c>
      <c r="K162" s="31">
        <f>+IFERROR(VLOOKUP(C162,Data,3,FALSE),"Not in weight table")</f>
        <v>1.36</v>
      </c>
      <c r="L162" s="44">
        <f t="shared" si="34"/>
        <v>0.68838</v>
      </c>
      <c r="M162" s="42">
        <f t="shared" si="35"/>
        <v>20.944</v>
      </c>
      <c r="N162" s="43" t="s">
        <v>158</v>
      </c>
      <c r="O162" s="43" t="s">
        <v>158</v>
      </c>
      <c r="P162" s="43" t="s">
        <v>158</v>
      </c>
    </row>
    <row r="163" s="11" customFormat="1" spans="1:16">
      <c r="A163" s="32" t="s">
        <v>186</v>
      </c>
      <c r="B163" s="28" t="s">
        <v>239</v>
      </c>
      <c r="C163" s="28" t="s">
        <v>240</v>
      </c>
      <c r="D163" s="33" t="str">
        <f>+IFERROR(VLOOKUP(C163,Data,4,FALSE),"Not in data")</f>
        <v>S</v>
      </c>
      <c r="E163" s="34" t="s">
        <v>149</v>
      </c>
      <c r="F163" s="30">
        <v>1</v>
      </c>
      <c r="G163" s="30">
        <v>1</v>
      </c>
      <c r="H163" s="31">
        <v>17.5</v>
      </c>
      <c r="I163" s="40">
        <f t="shared" si="33"/>
        <v>17.5</v>
      </c>
      <c r="J163" s="31">
        <f>+IFERROR(VLOOKUP(C163,Data,2,FALSE),"Not in weight table")</f>
        <v>44.7</v>
      </c>
      <c r="K163" s="31">
        <f>+IFERROR(VLOOKUP(C163,Data,3,FALSE),"Not in weight table")</f>
        <v>1.36</v>
      </c>
      <c r="L163" s="44">
        <f t="shared" si="34"/>
        <v>0.78225</v>
      </c>
      <c r="M163" s="42">
        <f t="shared" si="35"/>
        <v>23.8</v>
      </c>
      <c r="N163" s="43" t="s">
        <v>158</v>
      </c>
      <c r="O163" s="43" t="s">
        <v>158</v>
      </c>
      <c r="P163" s="43" t="s">
        <v>158</v>
      </c>
    </row>
    <row r="164" s="11" customFormat="1" spans="1:16">
      <c r="A164" s="32" t="s">
        <v>186</v>
      </c>
      <c r="B164" s="28" t="s">
        <v>206</v>
      </c>
      <c r="C164" s="28" t="s">
        <v>207</v>
      </c>
      <c r="D164" s="33" t="str">
        <f>+IFERROR(VLOOKUP(C164,Data,4,FALSE),"Not in data")</f>
        <v>S</v>
      </c>
      <c r="E164" s="34" t="s">
        <v>149</v>
      </c>
      <c r="F164" s="30">
        <v>1</v>
      </c>
      <c r="G164" s="30">
        <v>1</v>
      </c>
      <c r="H164" s="31">
        <v>7.1</v>
      </c>
      <c r="I164" s="40">
        <f t="shared" si="33"/>
        <v>7.1</v>
      </c>
      <c r="J164" s="31">
        <f>+IFERROR(VLOOKUP(C164,Data,2,FALSE),"Not in weight table")</f>
        <v>4.56</v>
      </c>
      <c r="K164" s="31">
        <f>+IFERROR(VLOOKUP(C164,Data,3,FALSE),"Not in weight table")</f>
        <v>0.255</v>
      </c>
      <c r="L164" s="44">
        <f t="shared" si="34"/>
        <v>0.032376</v>
      </c>
      <c r="M164" s="42">
        <f t="shared" si="35"/>
        <v>1.8105</v>
      </c>
      <c r="N164" s="43" t="s">
        <v>158</v>
      </c>
      <c r="O164" s="43" t="s">
        <v>158</v>
      </c>
      <c r="P164" s="43" t="s">
        <v>158</v>
      </c>
    </row>
    <row r="165" s="11" customFormat="1" spans="1:16">
      <c r="A165" s="32" t="s">
        <v>186</v>
      </c>
      <c r="B165" s="28" t="s">
        <v>206</v>
      </c>
      <c r="C165" s="28" t="s">
        <v>207</v>
      </c>
      <c r="D165" s="33" t="str">
        <f>+IFERROR(VLOOKUP(C165,Data,4,FALSE),"Not in data")</f>
        <v>S</v>
      </c>
      <c r="E165" s="34" t="s">
        <v>149</v>
      </c>
      <c r="F165" s="30">
        <v>1</v>
      </c>
      <c r="G165" s="30">
        <v>1</v>
      </c>
      <c r="H165" s="31">
        <v>6.7</v>
      </c>
      <c r="I165" s="40">
        <f t="shared" si="33"/>
        <v>6.7</v>
      </c>
      <c r="J165" s="31">
        <f>+IFERROR(VLOOKUP(C165,Data,2,FALSE),"Not in weight table")</f>
        <v>4.56</v>
      </c>
      <c r="K165" s="31">
        <f>+IFERROR(VLOOKUP(C165,Data,3,FALSE),"Not in weight table")</f>
        <v>0.255</v>
      </c>
      <c r="L165" s="44">
        <f t="shared" si="34"/>
        <v>0.030552</v>
      </c>
      <c r="M165" s="42">
        <f t="shared" si="35"/>
        <v>1.7085</v>
      </c>
      <c r="N165" s="43" t="s">
        <v>158</v>
      </c>
      <c r="O165" s="43" t="s">
        <v>158</v>
      </c>
      <c r="P165" s="43" t="s">
        <v>158</v>
      </c>
    </row>
    <row r="166" s="11" customFormat="1" spans="1:16">
      <c r="A166" s="32" t="s">
        <v>186</v>
      </c>
      <c r="B166" s="28" t="s">
        <v>199</v>
      </c>
      <c r="C166" s="28" t="s">
        <v>200</v>
      </c>
      <c r="D166" s="33" t="str">
        <f>+IFERROR(VLOOKUP(C166,Data,4,FALSE),"Not in data")</f>
        <v>Not in data</v>
      </c>
      <c r="E166" s="34" t="s">
        <v>149</v>
      </c>
      <c r="F166" s="30">
        <v>1</v>
      </c>
      <c r="G166" s="30">
        <v>3</v>
      </c>
      <c r="H166" s="31">
        <v>3.3</v>
      </c>
      <c r="I166" s="40">
        <f t="shared" si="33"/>
        <v>9.9</v>
      </c>
      <c r="J166" s="31" t="str">
        <f>+IFERROR(VLOOKUP(C166,Data,2,FALSE),"Not in weight table")</f>
        <v>Not in weight table</v>
      </c>
      <c r="K166" s="31" t="str">
        <f>+IFERROR(VLOOKUP(C166,Data,3,FALSE),"Not in weight table")</f>
        <v>Not in weight table</v>
      </c>
      <c r="L166" s="44">
        <f t="shared" si="34"/>
        <v>0</v>
      </c>
      <c r="M166" s="42">
        <f t="shared" si="35"/>
        <v>0</v>
      </c>
      <c r="N166" s="43" t="s">
        <v>158</v>
      </c>
      <c r="O166" s="43" t="s">
        <v>158</v>
      </c>
      <c r="P166" s="43" t="s">
        <v>158</v>
      </c>
    </row>
    <row r="167" s="11" customFormat="1" spans="1:16">
      <c r="A167" s="32" t="s">
        <v>186</v>
      </c>
      <c r="B167" s="28" t="s">
        <v>199</v>
      </c>
      <c r="C167" s="28" t="s">
        <v>200</v>
      </c>
      <c r="D167" s="33" t="str">
        <f>+IFERROR(VLOOKUP(C167,Data,4,FALSE),"Not in data")</f>
        <v>Not in data</v>
      </c>
      <c r="E167" s="34" t="s">
        <v>149</v>
      </c>
      <c r="F167" s="30">
        <v>1</v>
      </c>
      <c r="G167" s="30">
        <v>1</v>
      </c>
      <c r="H167" s="31">
        <v>2.9</v>
      </c>
      <c r="I167" s="40">
        <f t="shared" si="33"/>
        <v>2.9</v>
      </c>
      <c r="J167" s="31" t="str">
        <f>+IFERROR(VLOOKUP(C167,Data,2,FALSE),"Not in weight table")</f>
        <v>Not in weight table</v>
      </c>
      <c r="K167" s="31" t="str">
        <f>+IFERROR(VLOOKUP(C167,Data,3,FALSE),"Not in weight table")</f>
        <v>Not in weight table</v>
      </c>
      <c r="L167" s="44">
        <f t="shared" si="34"/>
        <v>0</v>
      </c>
      <c r="M167" s="42">
        <f t="shared" si="35"/>
        <v>0</v>
      </c>
      <c r="N167" s="43" t="s">
        <v>158</v>
      </c>
      <c r="O167" s="43" t="s">
        <v>158</v>
      </c>
      <c r="P167" s="43" t="s">
        <v>158</v>
      </c>
    </row>
    <row r="168" s="11" customFormat="1" spans="1:16">
      <c r="A168" s="32" t="s">
        <v>186</v>
      </c>
      <c r="B168" s="28" t="s">
        <v>199</v>
      </c>
      <c r="C168" s="28" t="s">
        <v>200</v>
      </c>
      <c r="D168" s="33" t="str">
        <f>+IFERROR(VLOOKUP(C168,Data,4,FALSE),"Not in data")</f>
        <v>Not in data</v>
      </c>
      <c r="E168" s="34" t="s">
        <v>149</v>
      </c>
      <c r="F168" s="30">
        <v>1</v>
      </c>
      <c r="G168" s="30">
        <v>2</v>
      </c>
      <c r="H168" s="31">
        <v>5.72</v>
      </c>
      <c r="I168" s="40">
        <f t="shared" si="33"/>
        <v>11.44</v>
      </c>
      <c r="J168" s="31" t="str">
        <f>+IFERROR(VLOOKUP(C168,Data,2,FALSE),"Not in weight table")</f>
        <v>Not in weight table</v>
      </c>
      <c r="K168" s="31" t="str">
        <f>+IFERROR(VLOOKUP(C168,Data,3,FALSE),"Not in weight table")</f>
        <v>Not in weight table</v>
      </c>
      <c r="L168" s="44">
        <f t="shared" si="34"/>
        <v>0</v>
      </c>
      <c r="M168" s="42">
        <f t="shared" si="35"/>
        <v>0</v>
      </c>
      <c r="N168" s="43" t="s">
        <v>158</v>
      </c>
      <c r="O168" s="43" t="s">
        <v>158</v>
      </c>
      <c r="P168" s="43" t="s">
        <v>158</v>
      </c>
    </row>
    <row r="169" s="11" customFormat="1" spans="1:16">
      <c r="A169" s="32" t="s">
        <v>186</v>
      </c>
      <c r="B169" s="28" t="s">
        <v>206</v>
      </c>
      <c r="C169" s="28" t="s">
        <v>207</v>
      </c>
      <c r="D169" s="33" t="str">
        <f>+IFERROR(VLOOKUP(C169,Data,4,FALSE),"Not in data")</f>
        <v>S</v>
      </c>
      <c r="E169" s="34" t="s">
        <v>149</v>
      </c>
      <c r="F169" s="30">
        <v>1</v>
      </c>
      <c r="G169" s="30">
        <v>1</v>
      </c>
      <c r="H169" s="31">
        <v>8.7</v>
      </c>
      <c r="I169" s="40">
        <f t="shared" si="33"/>
        <v>8.7</v>
      </c>
      <c r="J169" s="31">
        <f>+IFERROR(VLOOKUP(C169,Data,2,FALSE),"Not in weight table")</f>
        <v>4.56</v>
      </c>
      <c r="K169" s="31">
        <f>+IFERROR(VLOOKUP(C169,Data,3,FALSE),"Not in weight table")</f>
        <v>0.255</v>
      </c>
      <c r="L169" s="44">
        <f t="shared" si="34"/>
        <v>0.039672</v>
      </c>
      <c r="M169" s="42">
        <f t="shared" si="35"/>
        <v>2.2185</v>
      </c>
      <c r="N169" s="43" t="s">
        <v>158</v>
      </c>
      <c r="O169" s="43" t="s">
        <v>158</v>
      </c>
      <c r="P169" s="43" t="s">
        <v>158</v>
      </c>
    </row>
    <row r="170" s="11" customFormat="1" spans="1:16">
      <c r="A170" s="32" t="s">
        <v>186</v>
      </c>
      <c r="B170" s="28" t="s">
        <v>206</v>
      </c>
      <c r="C170" s="28" t="s">
        <v>207</v>
      </c>
      <c r="D170" s="33" t="str">
        <f>+IFERROR(VLOOKUP(C170,Data,4,FALSE),"Not in data")</f>
        <v>S</v>
      </c>
      <c r="E170" s="34" t="s">
        <v>149</v>
      </c>
      <c r="F170" s="30">
        <v>1</v>
      </c>
      <c r="G170" s="30">
        <v>1</v>
      </c>
      <c r="H170" s="31">
        <v>8.5</v>
      </c>
      <c r="I170" s="40">
        <f t="shared" si="33"/>
        <v>8.5</v>
      </c>
      <c r="J170" s="31">
        <f>+IFERROR(VLOOKUP(C170,Data,2,FALSE),"Not in weight table")</f>
        <v>4.56</v>
      </c>
      <c r="K170" s="31">
        <f>+IFERROR(VLOOKUP(C170,Data,3,FALSE),"Not in weight table")</f>
        <v>0.255</v>
      </c>
      <c r="L170" s="44">
        <f t="shared" si="34"/>
        <v>0.03876</v>
      </c>
      <c r="M170" s="42">
        <f t="shared" si="35"/>
        <v>2.1675</v>
      </c>
      <c r="N170" s="43" t="s">
        <v>158</v>
      </c>
      <c r="O170" s="43" t="s">
        <v>158</v>
      </c>
      <c r="P170" s="43" t="s">
        <v>158</v>
      </c>
    </row>
    <row r="171" s="11" customFormat="1" spans="1:16">
      <c r="A171" s="32" t="s">
        <v>186</v>
      </c>
      <c r="B171" s="28" t="s">
        <v>199</v>
      </c>
      <c r="C171" s="28" t="s">
        <v>200</v>
      </c>
      <c r="D171" s="33" t="str">
        <f>+IFERROR(VLOOKUP(C171,Data,4,FALSE),"Not in data")</f>
        <v>Not in data</v>
      </c>
      <c r="E171" s="34" t="s">
        <v>149</v>
      </c>
      <c r="F171" s="30">
        <v>1</v>
      </c>
      <c r="G171" s="30">
        <v>2</v>
      </c>
      <c r="H171" s="31">
        <v>5.82</v>
      </c>
      <c r="I171" s="40">
        <f t="shared" si="33"/>
        <v>11.64</v>
      </c>
      <c r="J171" s="31" t="str">
        <f>+IFERROR(VLOOKUP(C171,Data,2,FALSE),"Not in weight table")</f>
        <v>Not in weight table</v>
      </c>
      <c r="K171" s="31" t="str">
        <f>+IFERROR(VLOOKUP(C171,Data,3,FALSE),"Not in weight table")</f>
        <v>Not in weight table</v>
      </c>
      <c r="L171" s="44">
        <f t="shared" si="34"/>
        <v>0</v>
      </c>
      <c r="M171" s="42">
        <f t="shared" si="35"/>
        <v>0</v>
      </c>
      <c r="N171" s="43" t="s">
        <v>158</v>
      </c>
      <c r="O171" s="43" t="s">
        <v>158</v>
      </c>
      <c r="P171" s="43" t="s">
        <v>158</v>
      </c>
    </row>
    <row r="172" s="11" customFormat="1" spans="1:16">
      <c r="A172" s="32" t="s">
        <v>186</v>
      </c>
      <c r="B172" s="28" t="s">
        <v>206</v>
      </c>
      <c r="C172" s="28" t="s">
        <v>207</v>
      </c>
      <c r="D172" s="33" t="str">
        <f>+IFERROR(VLOOKUP(C172,Data,4,FALSE),"Not in data")</f>
        <v>S</v>
      </c>
      <c r="E172" s="34" t="s">
        <v>149</v>
      </c>
      <c r="F172" s="30">
        <v>1</v>
      </c>
      <c r="G172" s="30">
        <v>4</v>
      </c>
      <c r="H172" s="31">
        <v>8.9</v>
      </c>
      <c r="I172" s="40">
        <f t="shared" si="33"/>
        <v>35.6</v>
      </c>
      <c r="J172" s="31">
        <f>+IFERROR(VLOOKUP(C172,Data,2,FALSE),"Not in weight table")</f>
        <v>4.56</v>
      </c>
      <c r="K172" s="31">
        <f>+IFERROR(VLOOKUP(C172,Data,3,FALSE),"Not in weight table")</f>
        <v>0.255</v>
      </c>
      <c r="L172" s="44">
        <f t="shared" si="34"/>
        <v>0.162336</v>
      </c>
      <c r="M172" s="42">
        <f t="shared" si="35"/>
        <v>9.078</v>
      </c>
      <c r="N172" s="43" t="s">
        <v>158</v>
      </c>
      <c r="O172" s="43" t="s">
        <v>158</v>
      </c>
      <c r="P172" s="43" t="s">
        <v>158</v>
      </c>
    </row>
    <row r="173" s="11" customFormat="1" spans="1:16">
      <c r="A173" s="32" t="s">
        <v>186</v>
      </c>
      <c r="B173" s="28" t="s">
        <v>206</v>
      </c>
      <c r="C173" s="28" t="s">
        <v>207</v>
      </c>
      <c r="D173" s="33" t="str">
        <f>+IFERROR(VLOOKUP(C173,Data,4,FALSE),"Not in data")</f>
        <v>S</v>
      </c>
      <c r="E173" s="34" t="s">
        <v>149</v>
      </c>
      <c r="F173" s="30">
        <v>1</v>
      </c>
      <c r="G173" s="30">
        <v>2</v>
      </c>
      <c r="H173" s="31">
        <v>8.8</v>
      </c>
      <c r="I173" s="40">
        <f t="shared" si="33"/>
        <v>17.6</v>
      </c>
      <c r="J173" s="31">
        <f>+IFERROR(VLOOKUP(C173,Data,2,FALSE),"Not in weight table")</f>
        <v>4.56</v>
      </c>
      <c r="K173" s="31">
        <f>+IFERROR(VLOOKUP(C173,Data,3,FALSE),"Not in weight table")</f>
        <v>0.255</v>
      </c>
      <c r="L173" s="44">
        <f t="shared" si="34"/>
        <v>0.080256</v>
      </c>
      <c r="M173" s="42">
        <f t="shared" si="35"/>
        <v>4.488</v>
      </c>
      <c r="N173" s="43" t="s">
        <v>158</v>
      </c>
      <c r="O173" s="43" t="s">
        <v>158</v>
      </c>
      <c r="P173" s="43" t="s">
        <v>158</v>
      </c>
    </row>
    <row r="174" s="11" customFormat="1" spans="1:16">
      <c r="A174" s="32" t="s">
        <v>186</v>
      </c>
      <c r="B174" s="28" t="s">
        <v>206</v>
      </c>
      <c r="C174" s="28" t="s">
        <v>207</v>
      </c>
      <c r="D174" s="33" t="str">
        <f>+IFERROR(VLOOKUP(C174,Data,4,FALSE),"Not in data")</f>
        <v>S</v>
      </c>
      <c r="E174" s="34" t="s">
        <v>149</v>
      </c>
      <c r="F174" s="30">
        <v>1</v>
      </c>
      <c r="G174" s="30">
        <v>2</v>
      </c>
      <c r="H174" s="31">
        <v>9.1</v>
      </c>
      <c r="I174" s="40">
        <f t="shared" si="33"/>
        <v>18.2</v>
      </c>
      <c r="J174" s="31">
        <f>+IFERROR(VLOOKUP(C174,Data,2,FALSE),"Not in weight table")</f>
        <v>4.56</v>
      </c>
      <c r="K174" s="31">
        <f>+IFERROR(VLOOKUP(C174,Data,3,FALSE),"Not in weight table")</f>
        <v>0.255</v>
      </c>
      <c r="L174" s="44">
        <f t="shared" si="34"/>
        <v>0.082992</v>
      </c>
      <c r="M174" s="42">
        <f t="shared" si="35"/>
        <v>4.641</v>
      </c>
      <c r="N174" s="43" t="s">
        <v>158</v>
      </c>
      <c r="O174" s="43" t="s">
        <v>158</v>
      </c>
      <c r="P174" s="43" t="s">
        <v>158</v>
      </c>
    </row>
    <row r="175" s="11" customFormat="1" spans="1:16">
      <c r="A175" s="32" t="s">
        <v>186</v>
      </c>
      <c r="B175" s="28" t="s">
        <v>206</v>
      </c>
      <c r="C175" s="28" t="s">
        <v>207</v>
      </c>
      <c r="D175" s="33" t="str">
        <f>+IFERROR(VLOOKUP(C175,Data,4,FALSE),"Not in data")</f>
        <v>S</v>
      </c>
      <c r="E175" s="34" t="s">
        <v>149</v>
      </c>
      <c r="F175" s="30">
        <v>1</v>
      </c>
      <c r="G175" s="30">
        <v>2</v>
      </c>
      <c r="H175" s="31">
        <v>9.4</v>
      </c>
      <c r="I175" s="40">
        <f t="shared" si="33"/>
        <v>18.8</v>
      </c>
      <c r="J175" s="31">
        <f>+IFERROR(VLOOKUP(C175,Data,2,FALSE),"Not in weight table")</f>
        <v>4.56</v>
      </c>
      <c r="K175" s="31">
        <f>+IFERROR(VLOOKUP(C175,Data,3,FALSE),"Not in weight table")</f>
        <v>0.255</v>
      </c>
      <c r="L175" s="44">
        <f t="shared" si="34"/>
        <v>0.085728</v>
      </c>
      <c r="M175" s="42">
        <f t="shared" si="35"/>
        <v>4.794</v>
      </c>
      <c r="N175" s="43" t="s">
        <v>158</v>
      </c>
      <c r="O175" s="43" t="s">
        <v>158</v>
      </c>
      <c r="P175" s="43" t="s">
        <v>158</v>
      </c>
    </row>
    <row r="176" s="11" customFormat="1" spans="1:16">
      <c r="A176" s="32" t="s">
        <v>186</v>
      </c>
      <c r="B176" s="28" t="s">
        <v>206</v>
      </c>
      <c r="C176" s="28" t="s">
        <v>207</v>
      </c>
      <c r="D176" s="33" t="str">
        <f>+IFERROR(VLOOKUP(C176,Data,4,FALSE),"Not in data")</f>
        <v>S</v>
      </c>
      <c r="E176" s="34" t="s">
        <v>149</v>
      </c>
      <c r="F176" s="30">
        <v>1</v>
      </c>
      <c r="G176" s="30">
        <v>2</v>
      </c>
      <c r="H176" s="31">
        <v>8</v>
      </c>
      <c r="I176" s="40">
        <f t="shared" si="33"/>
        <v>16</v>
      </c>
      <c r="J176" s="31">
        <f>+IFERROR(VLOOKUP(C176,Data,2,FALSE),"Not in weight table")</f>
        <v>4.56</v>
      </c>
      <c r="K176" s="31">
        <f>+IFERROR(VLOOKUP(C176,Data,3,FALSE),"Not in weight table")</f>
        <v>0.255</v>
      </c>
      <c r="L176" s="44">
        <f t="shared" si="34"/>
        <v>0.07296</v>
      </c>
      <c r="M176" s="42">
        <f t="shared" si="35"/>
        <v>4.08</v>
      </c>
      <c r="N176" s="43" t="s">
        <v>158</v>
      </c>
      <c r="O176" s="43" t="s">
        <v>158</v>
      </c>
      <c r="P176" s="43" t="s">
        <v>158</v>
      </c>
    </row>
    <row r="177" s="11" customFormat="1" spans="1:16">
      <c r="A177" s="32" t="s">
        <v>186</v>
      </c>
      <c r="B177" s="28" t="s">
        <v>206</v>
      </c>
      <c r="C177" s="28" t="s">
        <v>207</v>
      </c>
      <c r="D177" s="33" t="str">
        <f>+IFERROR(VLOOKUP(C177,Data,4,FALSE),"Not in data")</f>
        <v>S</v>
      </c>
      <c r="E177" s="34" t="s">
        <v>149</v>
      </c>
      <c r="F177" s="30">
        <v>1</v>
      </c>
      <c r="G177" s="30">
        <v>2</v>
      </c>
      <c r="H177" s="31">
        <v>8.1</v>
      </c>
      <c r="I177" s="40">
        <f t="shared" si="33"/>
        <v>16.2</v>
      </c>
      <c r="J177" s="31">
        <f>+IFERROR(VLOOKUP(C177,Data,2,FALSE),"Not in weight table")</f>
        <v>4.56</v>
      </c>
      <c r="K177" s="31">
        <f>+IFERROR(VLOOKUP(C177,Data,3,FALSE),"Not in weight table")</f>
        <v>0.255</v>
      </c>
      <c r="L177" s="44">
        <f t="shared" si="34"/>
        <v>0.073872</v>
      </c>
      <c r="M177" s="42">
        <f t="shared" si="35"/>
        <v>4.131</v>
      </c>
      <c r="N177" s="43" t="s">
        <v>158</v>
      </c>
      <c r="O177" s="43" t="s">
        <v>158</v>
      </c>
      <c r="P177" s="43" t="s">
        <v>158</v>
      </c>
    </row>
    <row r="178" s="11" customFormat="1" spans="1:16">
      <c r="A178" s="32" t="s">
        <v>186</v>
      </c>
      <c r="B178" s="28" t="s">
        <v>206</v>
      </c>
      <c r="C178" s="28" t="s">
        <v>207</v>
      </c>
      <c r="D178" s="33" t="str">
        <f>+IFERROR(VLOOKUP(C178,Data,4,FALSE),"Not in data")</f>
        <v>S</v>
      </c>
      <c r="E178" s="34" t="s">
        <v>149</v>
      </c>
      <c r="F178" s="30">
        <v>1</v>
      </c>
      <c r="G178" s="30">
        <v>2</v>
      </c>
      <c r="H178" s="31">
        <v>7.3</v>
      </c>
      <c r="I178" s="40">
        <f t="shared" si="33"/>
        <v>14.6</v>
      </c>
      <c r="J178" s="31">
        <f>+IFERROR(VLOOKUP(C178,Data,2,FALSE),"Not in weight table")</f>
        <v>4.56</v>
      </c>
      <c r="K178" s="31">
        <f>+IFERROR(VLOOKUP(C178,Data,3,FALSE),"Not in weight table")</f>
        <v>0.255</v>
      </c>
      <c r="L178" s="44">
        <f t="shared" si="34"/>
        <v>0.066576</v>
      </c>
      <c r="M178" s="42">
        <f t="shared" si="35"/>
        <v>3.723</v>
      </c>
      <c r="N178" s="43" t="s">
        <v>158</v>
      </c>
      <c r="O178" s="43" t="s">
        <v>158</v>
      </c>
      <c r="P178" s="43" t="s">
        <v>158</v>
      </c>
    </row>
    <row r="179" s="11" customFormat="1" spans="1:16">
      <c r="A179" s="32" t="s">
        <v>186</v>
      </c>
      <c r="B179" s="28" t="s">
        <v>206</v>
      </c>
      <c r="C179" s="28" t="s">
        <v>207</v>
      </c>
      <c r="D179" s="33" t="str">
        <f>+IFERROR(VLOOKUP(C179,Data,4,FALSE),"Not in data")</f>
        <v>S</v>
      </c>
      <c r="E179" s="34" t="s">
        <v>149</v>
      </c>
      <c r="F179" s="30">
        <v>1</v>
      </c>
      <c r="G179" s="30">
        <v>2</v>
      </c>
      <c r="H179" s="31">
        <v>7.4</v>
      </c>
      <c r="I179" s="40">
        <f t="shared" si="33"/>
        <v>14.8</v>
      </c>
      <c r="J179" s="31">
        <f>+IFERROR(VLOOKUP(C179,Data,2,FALSE),"Not in weight table")</f>
        <v>4.56</v>
      </c>
      <c r="K179" s="31">
        <f>+IFERROR(VLOOKUP(C179,Data,3,FALSE),"Not in weight table")</f>
        <v>0.255</v>
      </c>
      <c r="L179" s="44">
        <f t="shared" si="34"/>
        <v>0.067488</v>
      </c>
      <c r="M179" s="42">
        <f t="shared" si="35"/>
        <v>3.774</v>
      </c>
      <c r="N179" s="43" t="s">
        <v>158</v>
      </c>
      <c r="O179" s="43" t="s">
        <v>158</v>
      </c>
      <c r="P179" s="43" t="s">
        <v>158</v>
      </c>
    </row>
    <row r="180" s="11" customFormat="1" spans="1:16">
      <c r="A180" s="32" t="s">
        <v>186</v>
      </c>
      <c r="B180" s="28" t="s">
        <v>196</v>
      </c>
      <c r="C180" s="28" t="s">
        <v>189</v>
      </c>
      <c r="D180" s="33" t="str">
        <f>+IFERROR(VLOOKUP(C180,Data,4,FALSE),"Not in data")</f>
        <v>S</v>
      </c>
      <c r="E180" s="34" t="s">
        <v>149</v>
      </c>
      <c r="F180" s="30">
        <v>1</v>
      </c>
      <c r="G180" s="30">
        <v>1</v>
      </c>
      <c r="H180" s="31">
        <v>12</v>
      </c>
      <c r="I180" s="40">
        <f t="shared" si="33"/>
        <v>12</v>
      </c>
      <c r="J180" s="31">
        <f>+IFERROR(VLOOKUP(C180,Data,2,FALSE),"Not in weight table")</f>
        <v>22.9</v>
      </c>
      <c r="K180" s="31">
        <f>+IFERROR(VLOOKUP(C180,Data,3,FALSE),"Not in weight table")</f>
        <v>0.668</v>
      </c>
      <c r="L180" s="44">
        <f t="shared" si="34"/>
        <v>0.2748</v>
      </c>
      <c r="M180" s="42">
        <f t="shared" si="35"/>
        <v>8.016</v>
      </c>
      <c r="N180" s="43" t="s">
        <v>158</v>
      </c>
      <c r="O180" s="43" t="s">
        <v>158</v>
      </c>
      <c r="P180" s="43" t="s">
        <v>158</v>
      </c>
    </row>
    <row r="181" s="11" customFormat="1" spans="1:16">
      <c r="A181" s="32" t="s">
        <v>186</v>
      </c>
      <c r="B181" s="28" t="s">
        <v>197</v>
      </c>
      <c r="C181" s="28" t="s">
        <v>198</v>
      </c>
      <c r="D181" s="33" t="str">
        <f>+IFERROR(VLOOKUP(C181,Data,4,FALSE),"Not in data")</f>
        <v>S</v>
      </c>
      <c r="E181" s="34" t="s">
        <v>149</v>
      </c>
      <c r="F181" s="30">
        <v>1</v>
      </c>
      <c r="G181" s="30">
        <v>20</v>
      </c>
      <c r="H181" s="31">
        <v>1.6</v>
      </c>
      <c r="I181" s="40">
        <f t="shared" si="33"/>
        <v>32</v>
      </c>
      <c r="J181" s="31">
        <f>+IFERROR(VLOOKUP(C181,Data,2,FALSE),"Not in weight table")</f>
        <v>8.73</v>
      </c>
      <c r="K181" s="31">
        <f>+IFERROR(VLOOKUP(C181,Data,3,FALSE),"Not in weight table")</f>
        <v>0.292</v>
      </c>
      <c r="L181" s="44">
        <f t="shared" si="34"/>
        <v>0.27936</v>
      </c>
      <c r="M181" s="42">
        <f t="shared" si="35"/>
        <v>9.344</v>
      </c>
      <c r="N181" s="43" t="s">
        <v>158</v>
      </c>
      <c r="O181" s="43" t="s">
        <v>158</v>
      </c>
      <c r="P181" s="43" t="s">
        <v>158</v>
      </c>
    </row>
    <row r="182" s="11" customFormat="1" spans="1:16">
      <c r="A182" s="32" t="s">
        <v>186</v>
      </c>
      <c r="B182" s="28" t="s">
        <v>220</v>
      </c>
      <c r="C182" s="28" t="s">
        <v>219</v>
      </c>
      <c r="D182" s="33" t="str">
        <f>+IFERROR(VLOOKUP(C182,Data,4,FALSE),"Not in data")</f>
        <v>Not in data</v>
      </c>
      <c r="E182" s="34" t="s">
        <v>148</v>
      </c>
      <c r="F182" s="30">
        <v>1</v>
      </c>
      <c r="G182" s="30">
        <v>8</v>
      </c>
      <c r="H182" s="31">
        <v>13.2</v>
      </c>
      <c r="I182" s="40">
        <f t="shared" si="33"/>
        <v>105.6</v>
      </c>
      <c r="J182" s="31" t="str">
        <f>+IFERROR(VLOOKUP(C182,Data,2,FALSE),"Not in weight table")</f>
        <v>Not in weight table</v>
      </c>
      <c r="K182" s="31" t="str">
        <f>+IFERROR(VLOOKUP(C182,Data,3,FALSE),"Not in weight table")</f>
        <v>Not in weight table</v>
      </c>
      <c r="L182" s="44">
        <f t="shared" si="34"/>
        <v>0</v>
      </c>
      <c r="M182" s="42">
        <f t="shared" si="35"/>
        <v>0</v>
      </c>
      <c r="N182" s="43" t="s">
        <v>158</v>
      </c>
      <c r="O182" s="43" t="s">
        <v>158</v>
      </c>
      <c r="P182" s="43" t="s">
        <v>158</v>
      </c>
    </row>
    <row r="183" s="11" customFormat="1" spans="1:16">
      <c r="A183" s="32" t="s">
        <v>186</v>
      </c>
      <c r="B183" s="28" t="s">
        <v>220</v>
      </c>
      <c r="C183" s="28" t="s">
        <v>219</v>
      </c>
      <c r="D183" s="33" t="str">
        <f>+IFERROR(VLOOKUP(C183,Data,4,FALSE),"Not in data")</f>
        <v>Not in data</v>
      </c>
      <c r="E183" s="34" t="s">
        <v>148</v>
      </c>
      <c r="F183" s="30">
        <v>1</v>
      </c>
      <c r="G183" s="30">
        <v>19</v>
      </c>
      <c r="H183" s="31">
        <v>13.2</v>
      </c>
      <c r="I183" s="40">
        <f t="shared" si="33"/>
        <v>250.8</v>
      </c>
      <c r="J183" s="31" t="str">
        <f>+IFERROR(VLOOKUP(C183,Data,2,FALSE),"Not in weight table")</f>
        <v>Not in weight table</v>
      </c>
      <c r="K183" s="31" t="str">
        <f>+IFERROR(VLOOKUP(C183,Data,3,FALSE),"Not in weight table")</f>
        <v>Not in weight table</v>
      </c>
      <c r="L183" s="44">
        <f t="shared" si="34"/>
        <v>0</v>
      </c>
      <c r="M183" s="42">
        <f t="shared" si="35"/>
        <v>0</v>
      </c>
      <c r="N183" s="43" t="s">
        <v>158</v>
      </c>
      <c r="O183" s="43" t="s">
        <v>158</v>
      </c>
      <c r="P183" s="43" t="s">
        <v>158</v>
      </c>
    </row>
    <row r="184" s="11" customFormat="1" spans="1:16">
      <c r="A184" s="32" t="s">
        <v>186</v>
      </c>
      <c r="B184" s="28" t="s">
        <v>220</v>
      </c>
      <c r="C184" s="28" t="s">
        <v>219</v>
      </c>
      <c r="D184" s="33" t="str">
        <f>+IFERROR(VLOOKUP(C184,Data,4,FALSE),"Not in data")</f>
        <v>Not in data</v>
      </c>
      <c r="E184" s="34" t="s">
        <v>148</v>
      </c>
      <c r="F184" s="30">
        <v>1</v>
      </c>
      <c r="G184" s="30">
        <v>22</v>
      </c>
      <c r="H184" s="31">
        <v>10.3</v>
      </c>
      <c r="I184" s="40">
        <f t="shared" si="33"/>
        <v>226.6</v>
      </c>
      <c r="J184" s="31" t="str">
        <f>+IFERROR(VLOOKUP(C184,Data,2,FALSE),"Not in weight table")</f>
        <v>Not in weight table</v>
      </c>
      <c r="K184" s="31" t="str">
        <f>+IFERROR(VLOOKUP(C184,Data,3,FALSE),"Not in weight table")</f>
        <v>Not in weight table</v>
      </c>
      <c r="L184" s="44">
        <f t="shared" si="34"/>
        <v>0</v>
      </c>
      <c r="M184" s="42">
        <f t="shared" si="35"/>
        <v>0</v>
      </c>
      <c r="N184" s="43" t="s">
        <v>158</v>
      </c>
      <c r="O184" s="43" t="s">
        <v>158</v>
      </c>
      <c r="P184" s="43" t="s">
        <v>158</v>
      </c>
    </row>
    <row r="185" s="11" customFormat="1" spans="1:16">
      <c r="A185" s="32" t="s">
        <v>186</v>
      </c>
      <c r="B185" s="28" t="s">
        <v>220</v>
      </c>
      <c r="C185" s="28" t="s">
        <v>219</v>
      </c>
      <c r="D185" s="33" t="str">
        <f>+IFERROR(VLOOKUP(C185,Data,4,FALSE),"Not in data")</f>
        <v>Not in data</v>
      </c>
      <c r="E185" s="34" t="s">
        <v>148</v>
      </c>
      <c r="F185" s="30">
        <v>1</v>
      </c>
      <c r="G185" s="30">
        <v>16</v>
      </c>
      <c r="H185" s="31">
        <v>9.8</v>
      </c>
      <c r="I185" s="40">
        <f t="shared" si="33"/>
        <v>156.8</v>
      </c>
      <c r="J185" s="31" t="str">
        <f>+IFERROR(VLOOKUP(C185,Data,2,FALSE),"Not in weight table")</f>
        <v>Not in weight table</v>
      </c>
      <c r="K185" s="31" t="str">
        <f>+IFERROR(VLOOKUP(C185,Data,3,FALSE),"Not in weight table")</f>
        <v>Not in weight table</v>
      </c>
      <c r="L185" s="44">
        <f t="shared" si="34"/>
        <v>0</v>
      </c>
      <c r="M185" s="42">
        <f t="shared" si="35"/>
        <v>0</v>
      </c>
      <c r="N185" s="43" t="s">
        <v>158</v>
      </c>
      <c r="O185" s="43" t="s">
        <v>158</v>
      </c>
      <c r="P185" s="43" t="s">
        <v>158</v>
      </c>
    </row>
    <row r="186" spans="1:16">
      <c r="A186" s="27" t="s">
        <v>241</v>
      </c>
      <c r="B186" s="28"/>
      <c r="C186" s="28"/>
      <c r="D186" s="33"/>
      <c r="E186" s="34"/>
      <c r="F186" s="30"/>
      <c r="G186" s="30"/>
      <c r="H186" s="31"/>
      <c r="I186" s="40"/>
      <c r="J186" s="31"/>
      <c r="K186" s="31"/>
      <c r="L186" s="44"/>
      <c r="M186" s="42"/>
      <c r="N186" s="43"/>
      <c r="O186" s="43"/>
      <c r="P186" s="43"/>
    </row>
    <row r="187" s="11" customFormat="1" spans="1:16">
      <c r="A187" s="32" t="s">
        <v>186</v>
      </c>
      <c r="B187" s="28" t="s">
        <v>242</v>
      </c>
      <c r="C187" s="28" t="s">
        <v>243</v>
      </c>
      <c r="D187" s="33" t="str">
        <f>+IFERROR(VLOOKUP(C187,Data,4,FALSE),"Not in data")</f>
        <v>T</v>
      </c>
      <c r="E187" s="34" t="s">
        <v>149</v>
      </c>
      <c r="F187" s="30">
        <v>1</v>
      </c>
      <c r="G187" s="30">
        <v>1</v>
      </c>
      <c r="H187" s="31">
        <v>30.78</v>
      </c>
      <c r="I187" s="40">
        <f t="shared" ref="I187:I197" si="36">+IF(F187&lt;&gt;"",F187*G187*H187,0)</f>
        <v>30.78</v>
      </c>
      <c r="J187" s="31">
        <f>+IFERROR(VLOOKUP(C187,Data,2,FALSE),"Not in weight table")</f>
        <v>21.4</v>
      </c>
      <c r="K187" s="31">
        <f>+IFERROR(VLOOKUP(C187,Data,3,FALSE),"Not in weight table")</f>
        <v>0.474</v>
      </c>
      <c r="L187" s="44">
        <f t="shared" ref="L187:L197" si="37">+IF(ISNUMBER(J187),I187*J187/1000,0)</f>
        <v>0.658692</v>
      </c>
      <c r="M187" s="42">
        <f t="shared" ref="M187:M197" si="38">+IF(ISNUMBER(K187),I187*K187,0)</f>
        <v>14.58972</v>
      </c>
      <c r="N187" s="43" t="s">
        <v>158</v>
      </c>
      <c r="O187" s="43" t="s">
        <v>158</v>
      </c>
      <c r="P187" s="43" t="s">
        <v>158</v>
      </c>
    </row>
    <row r="188" s="11" customFormat="1" spans="1:16">
      <c r="A188" s="32" t="s">
        <v>186</v>
      </c>
      <c r="B188" s="28" t="s">
        <v>242</v>
      </c>
      <c r="C188" s="28" t="s">
        <v>243</v>
      </c>
      <c r="D188" s="33" t="str">
        <f>+IFERROR(VLOOKUP(C188,Data,4,FALSE),"Not in data")</f>
        <v>T</v>
      </c>
      <c r="E188" s="34" t="s">
        <v>149</v>
      </c>
      <c r="F188" s="30">
        <v>1</v>
      </c>
      <c r="G188" s="30">
        <v>1</v>
      </c>
      <c r="H188" s="31">
        <v>9.01</v>
      </c>
      <c r="I188" s="40">
        <f t="shared" si="36"/>
        <v>9.01</v>
      </c>
      <c r="J188" s="31">
        <f>+IFERROR(VLOOKUP(C188,Data,2,FALSE),"Not in weight table")</f>
        <v>21.4</v>
      </c>
      <c r="K188" s="31">
        <f>+IFERROR(VLOOKUP(C188,Data,3,FALSE),"Not in weight table")</f>
        <v>0.474</v>
      </c>
      <c r="L188" s="44">
        <f t="shared" si="37"/>
        <v>0.192814</v>
      </c>
      <c r="M188" s="42">
        <f t="shared" si="38"/>
        <v>4.27074</v>
      </c>
      <c r="N188" s="43" t="s">
        <v>158</v>
      </c>
      <c r="O188" s="43" t="s">
        <v>158</v>
      </c>
      <c r="P188" s="43" t="s">
        <v>158</v>
      </c>
    </row>
    <row r="189" s="11" customFormat="1" spans="1:16">
      <c r="A189" s="32" t="s">
        <v>186</v>
      </c>
      <c r="B189" s="28" t="s">
        <v>242</v>
      </c>
      <c r="C189" s="28" t="s">
        <v>243</v>
      </c>
      <c r="D189" s="33" t="str">
        <f>+IFERROR(VLOOKUP(C189,Data,4,FALSE),"Not in data")</f>
        <v>T</v>
      </c>
      <c r="E189" s="34" t="s">
        <v>149</v>
      </c>
      <c r="F189" s="30">
        <v>1</v>
      </c>
      <c r="G189" s="30">
        <v>1</v>
      </c>
      <c r="H189" s="31">
        <v>5.74</v>
      </c>
      <c r="I189" s="40">
        <f t="shared" si="36"/>
        <v>5.74</v>
      </c>
      <c r="J189" s="31">
        <f>+IFERROR(VLOOKUP(C189,Data,2,FALSE),"Not in weight table")</f>
        <v>21.4</v>
      </c>
      <c r="K189" s="31">
        <f>+IFERROR(VLOOKUP(C189,Data,3,FALSE),"Not in weight table")</f>
        <v>0.474</v>
      </c>
      <c r="L189" s="44">
        <f t="shared" si="37"/>
        <v>0.122836</v>
      </c>
      <c r="M189" s="42">
        <f t="shared" si="38"/>
        <v>2.72076</v>
      </c>
      <c r="N189" s="43" t="s">
        <v>158</v>
      </c>
      <c r="O189" s="43" t="s">
        <v>158</v>
      </c>
      <c r="P189" s="43" t="s">
        <v>158</v>
      </c>
    </row>
    <row r="190" s="11" customFormat="1" spans="1:16">
      <c r="A190" s="32" t="s">
        <v>186</v>
      </c>
      <c r="B190" s="28" t="s">
        <v>242</v>
      </c>
      <c r="C190" s="28" t="s">
        <v>243</v>
      </c>
      <c r="D190" s="33" t="str">
        <f>+IFERROR(VLOOKUP(C190,Data,4,FALSE),"Not in data")</f>
        <v>T</v>
      </c>
      <c r="E190" s="34" t="s">
        <v>149</v>
      </c>
      <c r="F190" s="30">
        <v>1</v>
      </c>
      <c r="G190" s="30">
        <v>1</v>
      </c>
      <c r="H190" s="31">
        <v>1.64</v>
      </c>
      <c r="I190" s="40">
        <f t="shared" si="36"/>
        <v>1.64</v>
      </c>
      <c r="J190" s="31">
        <f>+IFERROR(VLOOKUP(C190,Data,2,FALSE),"Not in weight table")</f>
        <v>21.4</v>
      </c>
      <c r="K190" s="31">
        <f>+IFERROR(VLOOKUP(C190,Data,3,FALSE),"Not in weight table")</f>
        <v>0.474</v>
      </c>
      <c r="L190" s="44">
        <f t="shared" si="37"/>
        <v>0.035096</v>
      </c>
      <c r="M190" s="42">
        <f t="shared" si="38"/>
        <v>0.77736</v>
      </c>
      <c r="N190" s="43" t="s">
        <v>158</v>
      </c>
      <c r="O190" s="43" t="s">
        <v>158</v>
      </c>
      <c r="P190" s="43" t="s">
        <v>158</v>
      </c>
    </row>
    <row r="191" s="11" customFormat="1" spans="1:16">
      <c r="A191" s="32" t="s">
        <v>186</v>
      </c>
      <c r="B191" s="28" t="s">
        <v>242</v>
      </c>
      <c r="C191" s="28" t="s">
        <v>243</v>
      </c>
      <c r="D191" s="33" t="str">
        <f>+IFERROR(VLOOKUP(C191,Data,4,FALSE),"Not in data")</f>
        <v>T</v>
      </c>
      <c r="E191" s="34" t="s">
        <v>149</v>
      </c>
      <c r="F191" s="30">
        <v>1</v>
      </c>
      <c r="G191" s="30">
        <v>1</v>
      </c>
      <c r="H191" s="31">
        <v>19.15</v>
      </c>
      <c r="I191" s="40">
        <f t="shared" si="36"/>
        <v>19.15</v>
      </c>
      <c r="J191" s="31">
        <f>+IFERROR(VLOOKUP(C191,Data,2,FALSE),"Not in weight table")</f>
        <v>21.4</v>
      </c>
      <c r="K191" s="31">
        <f>+IFERROR(VLOOKUP(C191,Data,3,FALSE),"Not in weight table")</f>
        <v>0.474</v>
      </c>
      <c r="L191" s="44">
        <f t="shared" si="37"/>
        <v>0.40981</v>
      </c>
      <c r="M191" s="42">
        <f t="shared" si="38"/>
        <v>9.0771</v>
      </c>
      <c r="N191" s="43" t="s">
        <v>158</v>
      </c>
      <c r="O191" s="43" t="s">
        <v>158</v>
      </c>
      <c r="P191" s="43" t="s">
        <v>158</v>
      </c>
    </row>
    <row r="192" s="11" customFormat="1" spans="1:16">
      <c r="A192" s="32" t="s">
        <v>186</v>
      </c>
      <c r="B192" s="28" t="s">
        <v>242</v>
      </c>
      <c r="C192" s="28" t="s">
        <v>243</v>
      </c>
      <c r="D192" s="33" t="str">
        <f>+IFERROR(VLOOKUP(C192,Data,4,FALSE),"Not in data")</f>
        <v>T</v>
      </c>
      <c r="E192" s="34" t="s">
        <v>149</v>
      </c>
      <c r="F192" s="30">
        <v>1</v>
      </c>
      <c r="G192" s="30">
        <v>1</v>
      </c>
      <c r="H192" s="31">
        <v>1.1</v>
      </c>
      <c r="I192" s="40">
        <f t="shared" si="36"/>
        <v>1.1</v>
      </c>
      <c r="J192" s="31">
        <f>+IFERROR(VLOOKUP(C192,Data,2,FALSE),"Not in weight table")</f>
        <v>21.4</v>
      </c>
      <c r="K192" s="31">
        <f>+IFERROR(VLOOKUP(C192,Data,3,FALSE),"Not in weight table")</f>
        <v>0.474</v>
      </c>
      <c r="L192" s="44">
        <f t="shared" si="37"/>
        <v>0.02354</v>
      </c>
      <c r="M192" s="42">
        <f t="shared" si="38"/>
        <v>0.5214</v>
      </c>
      <c r="N192" s="43" t="s">
        <v>158</v>
      </c>
      <c r="O192" s="43" t="s">
        <v>158</v>
      </c>
      <c r="P192" s="43" t="s">
        <v>158</v>
      </c>
    </row>
    <row r="193" s="11" customFormat="1" spans="1:16">
      <c r="A193" s="32" t="s">
        <v>186</v>
      </c>
      <c r="B193" s="28" t="s">
        <v>242</v>
      </c>
      <c r="C193" s="28" t="s">
        <v>243</v>
      </c>
      <c r="D193" s="33" t="str">
        <f>+IFERROR(VLOOKUP(C193,Data,4,FALSE),"Not in data")</f>
        <v>T</v>
      </c>
      <c r="E193" s="34" t="s">
        <v>149</v>
      </c>
      <c r="F193" s="30">
        <v>1</v>
      </c>
      <c r="G193" s="30">
        <v>1</v>
      </c>
      <c r="H193" s="31">
        <v>1.25</v>
      </c>
      <c r="I193" s="40">
        <f t="shared" si="36"/>
        <v>1.25</v>
      </c>
      <c r="J193" s="31">
        <f>+IFERROR(VLOOKUP(C193,Data,2,FALSE),"Not in weight table")</f>
        <v>21.4</v>
      </c>
      <c r="K193" s="31">
        <f>+IFERROR(VLOOKUP(C193,Data,3,FALSE),"Not in weight table")</f>
        <v>0.474</v>
      </c>
      <c r="L193" s="44">
        <f t="shared" si="37"/>
        <v>0.02675</v>
      </c>
      <c r="M193" s="42">
        <f t="shared" si="38"/>
        <v>0.5925</v>
      </c>
      <c r="N193" s="43" t="s">
        <v>158</v>
      </c>
      <c r="O193" s="43" t="s">
        <v>158</v>
      </c>
      <c r="P193" s="43" t="s">
        <v>158</v>
      </c>
    </row>
    <row r="194" s="11" customFormat="1" spans="1:16">
      <c r="A194" s="32" t="s">
        <v>186</v>
      </c>
      <c r="B194" s="28" t="s">
        <v>242</v>
      </c>
      <c r="C194" s="28" t="s">
        <v>243</v>
      </c>
      <c r="D194" s="33" t="str">
        <f>+IFERROR(VLOOKUP(C194,Data,4,FALSE),"Not in data")</f>
        <v>T</v>
      </c>
      <c r="E194" s="34" t="s">
        <v>149</v>
      </c>
      <c r="F194" s="30">
        <v>1</v>
      </c>
      <c r="G194" s="30">
        <v>1</v>
      </c>
      <c r="H194" s="31">
        <v>4.12</v>
      </c>
      <c r="I194" s="40">
        <f t="shared" si="36"/>
        <v>4.12</v>
      </c>
      <c r="J194" s="31">
        <f>+IFERROR(VLOOKUP(C194,Data,2,FALSE),"Not in weight table")</f>
        <v>21.4</v>
      </c>
      <c r="K194" s="31">
        <f>+IFERROR(VLOOKUP(C194,Data,3,FALSE),"Not in weight table")</f>
        <v>0.474</v>
      </c>
      <c r="L194" s="44">
        <f t="shared" si="37"/>
        <v>0.088168</v>
      </c>
      <c r="M194" s="42">
        <f t="shared" si="38"/>
        <v>1.95288</v>
      </c>
      <c r="N194" s="43" t="s">
        <v>158</v>
      </c>
      <c r="O194" s="43" t="s">
        <v>158</v>
      </c>
      <c r="P194" s="43" t="s">
        <v>158</v>
      </c>
    </row>
    <row r="195" s="11" customFormat="1" spans="1:16">
      <c r="A195" s="32" t="s">
        <v>186</v>
      </c>
      <c r="B195" s="28" t="s">
        <v>242</v>
      </c>
      <c r="C195" s="28" t="s">
        <v>243</v>
      </c>
      <c r="D195" s="33" t="str">
        <f>+IFERROR(VLOOKUP(C195,Data,4,FALSE),"Not in data")</f>
        <v>T</v>
      </c>
      <c r="E195" s="34" t="s">
        <v>149</v>
      </c>
      <c r="F195" s="30">
        <v>1</v>
      </c>
      <c r="G195" s="30">
        <v>1</v>
      </c>
      <c r="H195" s="31">
        <v>12.8</v>
      </c>
      <c r="I195" s="40">
        <f t="shared" si="36"/>
        <v>12.8</v>
      </c>
      <c r="J195" s="31">
        <f>+IFERROR(VLOOKUP(C195,Data,2,FALSE),"Not in weight table")</f>
        <v>21.4</v>
      </c>
      <c r="K195" s="31">
        <f>+IFERROR(VLOOKUP(C195,Data,3,FALSE),"Not in weight table")</f>
        <v>0.474</v>
      </c>
      <c r="L195" s="44">
        <f t="shared" si="37"/>
        <v>0.27392</v>
      </c>
      <c r="M195" s="42">
        <f t="shared" si="38"/>
        <v>6.0672</v>
      </c>
      <c r="N195" s="43" t="s">
        <v>158</v>
      </c>
      <c r="O195" s="43" t="s">
        <v>158</v>
      </c>
      <c r="P195" s="43" t="s">
        <v>158</v>
      </c>
    </row>
    <row r="196" s="11" customFormat="1" spans="1:16">
      <c r="A196" s="32" t="s">
        <v>186</v>
      </c>
      <c r="B196" s="28" t="s">
        <v>242</v>
      </c>
      <c r="C196" s="28" t="s">
        <v>243</v>
      </c>
      <c r="D196" s="33" t="str">
        <f>+IFERROR(VLOOKUP(C196,Data,4,FALSE),"Not in data")</f>
        <v>T</v>
      </c>
      <c r="E196" s="34" t="s">
        <v>149</v>
      </c>
      <c r="F196" s="30">
        <v>1</v>
      </c>
      <c r="G196" s="30">
        <v>1</v>
      </c>
      <c r="H196" s="31">
        <v>4.78</v>
      </c>
      <c r="I196" s="40">
        <f t="shared" si="36"/>
        <v>4.78</v>
      </c>
      <c r="J196" s="31">
        <f>+IFERROR(VLOOKUP(C196,Data,2,FALSE),"Not in weight table")</f>
        <v>21.4</v>
      </c>
      <c r="K196" s="31">
        <f>+IFERROR(VLOOKUP(C196,Data,3,FALSE),"Not in weight table")</f>
        <v>0.474</v>
      </c>
      <c r="L196" s="44">
        <f t="shared" si="37"/>
        <v>0.102292</v>
      </c>
      <c r="M196" s="42">
        <f t="shared" si="38"/>
        <v>2.26572</v>
      </c>
      <c r="N196" s="43" t="s">
        <v>158</v>
      </c>
      <c r="O196" s="43" t="s">
        <v>158</v>
      </c>
      <c r="P196" s="43" t="s">
        <v>158</v>
      </c>
    </row>
    <row r="197" s="11" customFormat="1" spans="1:16">
      <c r="A197" s="32" t="s">
        <v>186</v>
      </c>
      <c r="B197" s="28" t="s">
        <v>244</v>
      </c>
      <c r="C197" s="28" t="s">
        <v>192</v>
      </c>
      <c r="D197" s="33" t="str">
        <f>+IFERROR(VLOOKUP(C197,Data,4,FALSE),"Not in data")</f>
        <v>T</v>
      </c>
      <c r="E197" s="34" t="s">
        <v>149</v>
      </c>
      <c r="F197" s="30">
        <v>1</v>
      </c>
      <c r="G197" s="30">
        <v>30</v>
      </c>
      <c r="H197" s="31">
        <v>1.5</v>
      </c>
      <c r="I197" s="40">
        <f t="shared" si="36"/>
        <v>45</v>
      </c>
      <c r="J197" s="31">
        <f>+IFERROR(VLOOKUP(C197,Data,2,FALSE),"Not in weight table")</f>
        <v>14.6</v>
      </c>
      <c r="K197" s="31">
        <f>+IFERROR(VLOOKUP(C197,Data,3,FALSE),"Not in weight table")</f>
        <v>0.33</v>
      </c>
      <c r="L197" s="44">
        <f t="shared" si="37"/>
        <v>0.657</v>
      </c>
      <c r="M197" s="42">
        <f t="shared" si="38"/>
        <v>14.85</v>
      </c>
      <c r="N197" s="43" t="s">
        <v>158</v>
      </c>
      <c r="O197" s="43" t="s">
        <v>158</v>
      </c>
      <c r="P197" s="43" t="s">
        <v>158</v>
      </c>
    </row>
    <row r="198" spans="1:16">
      <c r="A198" s="27" t="s">
        <v>245</v>
      </c>
      <c r="B198" s="28"/>
      <c r="C198" s="28"/>
      <c r="D198" s="33"/>
      <c r="E198" s="34"/>
      <c r="F198" s="30"/>
      <c r="G198" s="30"/>
      <c r="H198" s="31"/>
      <c r="I198" s="40"/>
      <c r="J198" s="31"/>
      <c r="K198" s="31"/>
      <c r="L198" s="44"/>
      <c r="M198" s="42"/>
      <c r="N198" s="43"/>
      <c r="O198" s="43"/>
      <c r="P198" s="43"/>
    </row>
    <row r="199" s="11" customFormat="1" spans="1:16">
      <c r="A199" s="32" t="s">
        <v>183</v>
      </c>
      <c r="B199" s="28" t="s">
        <v>184</v>
      </c>
      <c r="C199" s="28" t="s">
        <v>185</v>
      </c>
      <c r="D199" s="33" t="str">
        <f>+IFERROR(VLOOKUP(C199,Data,4,FALSE),"Not in data")</f>
        <v>Not in data</v>
      </c>
      <c r="E199" s="34" t="s">
        <v>149</v>
      </c>
      <c r="F199" s="30">
        <v>1</v>
      </c>
      <c r="G199" s="30">
        <v>1</v>
      </c>
      <c r="H199" s="31">
        <v>4.34</v>
      </c>
      <c r="I199" s="40">
        <f t="shared" ref="I199:I228" si="39">+IF(F199&lt;&gt;"",F199*G199*H199,0)</f>
        <v>4.34</v>
      </c>
      <c r="J199" s="31" t="str">
        <f>+IFERROR(VLOOKUP(C199,Data,2,FALSE),"Not in weight table")</f>
        <v>Not in weight table</v>
      </c>
      <c r="K199" s="31" t="str">
        <f>+IFERROR(VLOOKUP(C199,Data,3,FALSE),"Not in weight table")</f>
        <v>Not in weight table</v>
      </c>
      <c r="L199" s="44">
        <f t="shared" ref="L199:L228" si="40">+IF(ISNUMBER(J199),I199*J199/1000,0)</f>
        <v>0</v>
      </c>
      <c r="M199" s="42">
        <f t="shared" ref="M199:M228" si="41">+IF(ISNUMBER(K199),I199*K199,0)</f>
        <v>0</v>
      </c>
      <c r="N199" s="43" t="s">
        <v>158</v>
      </c>
      <c r="O199" s="43" t="s">
        <v>158</v>
      </c>
      <c r="P199" s="43" t="s">
        <v>158</v>
      </c>
    </row>
    <row r="200" s="11" customFormat="1" spans="1:16">
      <c r="A200" s="32" t="s">
        <v>183</v>
      </c>
      <c r="B200" s="28" t="s">
        <v>184</v>
      </c>
      <c r="C200" s="28" t="s">
        <v>185</v>
      </c>
      <c r="D200" s="33" t="str">
        <f>+IFERROR(VLOOKUP(C200,Data,4,FALSE),"Not in data")</f>
        <v>Not in data</v>
      </c>
      <c r="E200" s="34" t="s">
        <v>149</v>
      </c>
      <c r="F200" s="30">
        <v>1</v>
      </c>
      <c r="G200" s="30">
        <v>1</v>
      </c>
      <c r="H200" s="31">
        <v>4.1</v>
      </c>
      <c r="I200" s="40">
        <f t="shared" si="39"/>
        <v>4.1</v>
      </c>
      <c r="J200" s="31" t="str">
        <f>+IFERROR(VLOOKUP(C200,Data,2,FALSE),"Not in weight table")</f>
        <v>Not in weight table</v>
      </c>
      <c r="K200" s="31" t="str">
        <f>+IFERROR(VLOOKUP(C200,Data,3,FALSE),"Not in weight table")</f>
        <v>Not in weight table</v>
      </c>
      <c r="L200" s="44">
        <f t="shared" si="40"/>
        <v>0</v>
      </c>
      <c r="M200" s="42">
        <f t="shared" si="41"/>
        <v>0</v>
      </c>
      <c r="N200" s="43" t="s">
        <v>158</v>
      </c>
      <c r="O200" s="43" t="s">
        <v>158</v>
      </c>
      <c r="P200" s="43" t="s">
        <v>158</v>
      </c>
    </row>
    <row r="201" s="11" customFormat="1" spans="1:16">
      <c r="A201" s="32" t="s">
        <v>183</v>
      </c>
      <c r="B201" s="28" t="s">
        <v>184</v>
      </c>
      <c r="C201" s="28" t="s">
        <v>185</v>
      </c>
      <c r="D201" s="33" t="str">
        <f>+IFERROR(VLOOKUP(C201,Data,4,FALSE),"Not in data")</f>
        <v>Not in data</v>
      </c>
      <c r="E201" s="34" t="s">
        <v>149</v>
      </c>
      <c r="F201" s="30">
        <v>1</v>
      </c>
      <c r="G201" s="30">
        <v>1</v>
      </c>
      <c r="H201" s="31">
        <v>3.9</v>
      </c>
      <c r="I201" s="40">
        <f t="shared" si="39"/>
        <v>3.9</v>
      </c>
      <c r="J201" s="31" t="str">
        <f>+IFERROR(VLOOKUP(C201,Data,2,FALSE),"Not in weight table")</f>
        <v>Not in weight table</v>
      </c>
      <c r="K201" s="31" t="str">
        <f>+IFERROR(VLOOKUP(C201,Data,3,FALSE),"Not in weight table")</f>
        <v>Not in weight table</v>
      </c>
      <c r="L201" s="44">
        <f t="shared" si="40"/>
        <v>0</v>
      </c>
      <c r="M201" s="42">
        <f t="shared" si="41"/>
        <v>0</v>
      </c>
      <c r="N201" s="43" t="s">
        <v>158</v>
      </c>
      <c r="O201" s="43" t="s">
        <v>158</v>
      </c>
      <c r="P201" s="43" t="s">
        <v>158</v>
      </c>
    </row>
    <row r="202" s="11" customFormat="1" spans="1:16">
      <c r="A202" s="32" t="s">
        <v>183</v>
      </c>
      <c r="B202" s="28" t="s">
        <v>184</v>
      </c>
      <c r="C202" s="28" t="s">
        <v>185</v>
      </c>
      <c r="D202" s="33" t="str">
        <f>+IFERROR(VLOOKUP(C202,Data,4,FALSE),"Not in data")</f>
        <v>Not in data</v>
      </c>
      <c r="E202" s="34" t="s">
        <v>149</v>
      </c>
      <c r="F202" s="30">
        <v>1</v>
      </c>
      <c r="G202" s="30">
        <v>1</v>
      </c>
      <c r="H202" s="31">
        <v>3.7</v>
      </c>
      <c r="I202" s="40">
        <f t="shared" si="39"/>
        <v>3.7</v>
      </c>
      <c r="J202" s="31" t="str">
        <f>+IFERROR(VLOOKUP(C202,Data,2,FALSE),"Not in weight table")</f>
        <v>Not in weight table</v>
      </c>
      <c r="K202" s="31" t="str">
        <f>+IFERROR(VLOOKUP(C202,Data,3,FALSE),"Not in weight table")</f>
        <v>Not in weight table</v>
      </c>
      <c r="L202" s="44">
        <f t="shared" si="40"/>
        <v>0</v>
      </c>
      <c r="M202" s="42">
        <f t="shared" si="41"/>
        <v>0</v>
      </c>
      <c r="N202" s="43" t="s">
        <v>158</v>
      </c>
      <c r="O202" s="43" t="s">
        <v>158</v>
      </c>
      <c r="P202" s="43" t="s">
        <v>158</v>
      </c>
    </row>
    <row r="203" s="11" customFormat="1" spans="1:16">
      <c r="A203" s="32" t="s">
        <v>183</v>
      </c>
      <c r="B203" s="28" t="s">
        <v>208</v>
      </c>
      <c r="C203" s="28" t="s">
        <v>235</v>
      </c>
      <c r="D203" s="33" t="str">
        <f>+IFERROR(VLOOKUP(C203,Data,4,FALSE),"Not in data")</f>
        <v>S</v>
      </c>
      <c r="E203" s="34" t="s">
        <v>149</v>
      </c>
      <c r="F203" s="30">
        <v>1</v>
      </c>
      <c r="G203" s="30">
        <v>1</v>
      </c>
      <c r="H203" s="31">
        <v>16.62</v>
      </c>
      <c r="I203" s="40">
        <f t="shared" si="39"/>
        <v>16.62</v>
      </c>
      <c r="J203" s="31">
        <f>+IFERROR(VLOOKUP(C203,Data,2,FALSE),"Not in weight table")</f>
        <v>25.7</v>
      </c>
      <c r="K203" s="31">
        <f>+IFERROR(VLOOKUP(C203,Data,3,FALSE),"Not in weight table")</f>
        <v>0.961</v>
      </c>
      <c r="L203" s="44">
        <f t="shared" si="40"/>
        <v>0.427134</v>
      </c>
      <c r="M203" s="42">
        <f t="shared" si="41"/>
        <v>15.97182</v>
      </c>
      <c r="N203" s="43" t="s">
        <v>158</v>
      </c>
      <c r="O203" s="43" t="s">
        <v>158</v>
      </c>
      <c r="P203" s="43" t="s">
        <v>158</v>
      </c>
    </row>
    <row r="204" s="11" customFormat="1" spans="1:16">
      <c r="A204" s="32" t="s">
        <v>183</v>
      </c>
      <c r="B204" s="28" t="s">
        <v>188</v>
      </c>
      <c r="C204" s="28" t="s">
        <v>189</v>
      </c>
      <c r="D204" s="33" t="str">
        <f>+IFERROR(VLOOKUP(C204,Data,4,FALSE),"Not in data")</f>
        <v>S</v>
      </c>
      <c r="E204" s="34" t="s">
        <v>149</v>
      </c>
      <c r="F204" s="30">
        <v>1</v>
      </c>
      <c r="G204" s="30">
        <v>2</v>
      </c>
      <c r="H204" s="31">
        <v>3.1</v>
      </c>
      <c r="I204" s="40">
        <f t="shared" si="39"/>
        <v>6.2</v>
      </c>
      <c r="J204" s="31">
        <f>+IFERROR(VLOOKUP(C204,Data,2,FALSE),"Not in weight table")</f>
        <v>22.9</v>
      </c>
      <c r="K204" s="31">
        <f>+IFERROR(VLOOKUP(C204,Data,3,FALSE),"Not in weight table")</f>
        <v>0.668</v>
      </c>
      <c r="L204" s="44">
        <f t="shared" si="40"/>
        <v>0.14198</v>
      </c>
      <c r="M204" s="42">
        <f t="shared" si="41"/>
        <v>4.1416</v>
      </c>
      <c r="N204" s="43" t="s">
        <v>158</v>
      </c>
      <c r="O204" s="43" t="s">
        <v>158</v>
      </c>
      <c r="P204" s="43" t="s">
        <v>158</v>
      </c>
    </row>
    <row r="205" s="11" customFormat="1" spans="1:16">
      <c r="A205" s="32" t="s">
        <v>232</v>
      </c>
      <c r="B205" s="28" t="s">
        <v>196</v>
      </c>
      <c r="C205" s="28" t="s">
        <v>189</v>
      </c>
      <c r="D205" s="33" t="str">
        <f>+IFERROR(VLOOKUP(C205,Data,4,FALSE),"Not in data")</f>
        <v>S</v>
      </c>
      <c r="E205" s="34" t="s">
        <v>149</v>
      </c>
      <c r="F205" s="30">
        <v>1</v>
      </c>
      <c r="G205" s="30">
        <v>1</v>
      </c>
      <c r="H205" s="31">
        <v>7.23</v>
      </c>
      <c r="I205" s="40">
        <f t="shared" si="39"/>
        <v>7.23</v>
      </c>
      <c r="J205" s="31">
        <f>+IFERROR(VLOOKUP(C205,Data,2,FALSE),"Not in weight table")</f>
        <v>22.9</v>
      </c>
      <c r="K205" s="31">
        <f>+IFERROR(VLOOKUP(C205,Data,3,FALSE),"Not in weight table")</f>
        <v>0.668</v>
      </c>
      <c r="L205" s="44">
        <f t="shared" si="40"/>
        <v>0.165567</v>
      </c>
      <c r="M205" s="42">
        <f t="shared" si="41"/>
        <v>4.82964</v>
      </c>
      <c r="N205" s="43" t="s">
        <v>158</v>
      </c>
      <c r="O205" s="43" t="s">
        <v>158</v>
      </c>
      <c r="P205" s="43" t="s">
        <v>158</v>
      </c>
    </row>
    <row r="206" s="11" customFormat="1" spans="1:16">
      <c r="A206" s="32" t="s">
        <v>232</v>
      </c>
      <c r="B206" s="28" t="s">
        <v>196</v>
      </c>
      <c r="C206" s="28" t="s">
        <v>189</v>
      </c>
      <c r="D206" s="33" t="str">
        <f>+IFERROR(VLOOKUP(C206,Data,4,FALSE),"Not in data")</f>
        <v>S</v>
      </c>
      <c r="E206" s="34" t="s">
        <v>149</v>
      </c>
      <c r="F206" s="30">
        <v>1</v>
      </c>
      <c r="G206" s="30">
        <v>1</v>
      </c>
      <c r="H206" s="31">
        <v>3.87</v>
      </c>
      <c r="I206" s="40">
        <f t="shared" si="39"/>
        <v>3.87</v>
      </c>
      <c r="J206" s="31">
        <f>+IFERROR(VLOOKUP(C206,Data,2,FALSE),"Not in weight table")</f>
        <v>22.9</v>
      </c>
      <c r="K206" s="31">
        <f>+IFERROR(VLOOKUP(C206,Data,3,FALSE),"Not in weight table")</f>
        <v>0.668</v>
      </c>
      <c r="L206" s="44">
        <f t="shared" si="40"/>
        <v>0.088623</v>
      </c>
      <c r="M206" s="42">
        <f t="shared" si="41"/>
        <v>2.58516</v>
      </c>
      <c r="N206" s="43" t="s">
        <v>158</v>
      </c>
      <c r="O206" s="43" t="s">
        <v>158</v>
      </c>
      <c r="P206" s="43" t="s">
        <v>158</v>
      </c>
    </row>
    <row r="207" s="11" customFormat="1" spans="1:16">
      <c r="A207" s="32" t="s">
        <v>232</v>
      </c>
      <c r="B207" s="28" t="s">
        <v>196</v>
      </c>
      <c r="C207" s="28" t="s">
        <v>189</v>
      </c>
      <c r="D207" s="33" t="str">
        <f>+IFERROR(VLOOKUP(C207,Data,4,FALSE),"Not in data")</f>
        <v>S</v>
      </c>
      <c r="E207" s="34" t="s">
        <v>149</v>
      </c>
      <c r="F207" s="30">
        <v>1</v>
      </c>
      <c r="G207" s="30">
        <v>1</v>
      </c>
      <c r="H207" s="31">
        <v>7.59</v>
      </c>
      <c r="I207" s="40">
        <f t="shared" si="39"/>
        <v>7.59</v>
      </c>
      <c r="J207" s="31">
        <f>+IFERROR(VLOOKUP(C207,Data,2,FALSE),"Not in weight table")</f>
        <v>22.9</v>
      </c>
      <c r="K207" s="31">
        <f>+IFERROR(VLOOKUP(C207,Data,3,FALSE),"Not in weight table")</f>
        <v>0.668</v>
      </c>
      <c r="L207" s="44">
        <f t="shared" si="40"/>
        <v>0.173811</v>
      </c>
      <c r="M207" s="42">
        <f t="shared" si="41"/>
        <v>5.07012</v>
      </c>
      <c r="N207" s="43" t="s">
        <v>158</v>
      </c>
      <c r="O207" s="43" t="s">
        <v>158</v>
      </c>
      <c r="P207" s="43" t="s">
        <v>158</v>
      </c>
    </row>
    <row r="208" s="11" customFormat="1" spans="1:16">
      <c r="A208" s="32" t="s">
        <v>183</v>
      </c>
      <c r="B208" s="28" t="s">
        <v>208</v>
      </c>
      <c r="C208" s="28" t="s">
        <v>235</v>
      </c>
      <c r="D208" s="33" t="str">
        <f>+IFERROR(VLOOKUP(C208,Data,4,FALSE),"Not in data")</f>
        <v>S</v>
      </c>
      <c r="E208" s="34" t="s">
        <v>149</v>
      </c>
      <c r="F208" s="30">
        <v>1</v>
      </c>
      <c r="G208" s="30">
        <v>1</v>
      </c>
      <c r="H208" s="31">
        <v>16.58</v>
      </c>
      <c r="I208" s="40">
        <f t="shared" si="39"/>
        <v>16.58</v>
      </c>
      <c r="J208" s="31">
        <f>+IFERROR(VLOOKUP(C208,Data,2,FALSE),"Not in weight table")</f>
        <v>25.7</v>
      </c>
      <c r="K208" s="31">
        <f>+IFERROR(VLOOKUP(C208,Data,3,FALSE),"Not in weight table")</f>
        <v>0.961</v>
      </c>
      <c r="L208" s="44">
        <f t="shared" si="40"/>
        <v>0.426106</v>
      </c>
      <c r="M208" s="42">
        <f t="shared" si="41"/>
        <v>15.93338</v>
      </c>
      <c r="N208" s="43" t="s">
        <v>158</v>
      </c>
      <c r="O208" s="43" t="s">
        <v>158</v>
      </c>
      <c r="P208" s="43" t="s">
        <v>158</v>
      </c>
    </row>
    <row r="209" s="11" customFormat="1" spans="1:16">
      <c r="A209" s="32" t="s">
        <v>183</v>
      </c>
      <c r="B209" s="28" t="s">
        <v>246</v>
      </c>
      <c r="C209" s="28" t="s">
        <v>247</v>
      </c>
      <c r="D209" s="33" t="str">
        <f>+IFERROR(VLOOKUP(C209,Data,4,FALSE),"Not in data")</f>
        <v>Not in data</v>
      </c>
      <c r="E209" s="34" t="s">
        <v>149</v>
      </c>
      <c r="F209" s="30">
        <v>1</v>
      </c>
      <c r="G209" s="30">
        <v>2</v>
      </c>
      <c r="H209" s="31">
        <v>2.94</v>
      </c>
      <c r="I209" s="40">
        <f t="shared" si="39"/>
        <v>5.88</v>
      </c>
      <c r="J209" s="31" t="str">
        <f>+IFERROR(VLOOKUP(C209,Data,2,FALSE),"Not in weight table")</f>
        <v>Not in weight table</v>
      </c>
      <c r="K209" s="31" t="str">
        <f>+IFERROR(VLOOKUP(C209,Data,3,FALSE),"Not in weight table")</f>
        <v>Not in weight table</v>
      </c>
      <c r="L209" s="44">
        <f t="shared" si="40"/>
        <v>0</v>
      </c>
      <c r="M209" s="42">
        <f t="shared" si="41"/>
        <v>0</v>
      </c>
      <c r="N209" s="43" t="s">
        <v>158</v>
      </c>
      <c r="O209" s="43" t="s">
        <v>158</v>
      </c>
      <c r="P209" s="43" t="s">
        <v>158</v>
      </c>
    </row>
    <row r="210" s="11" customFormat="1" spans="1:16">
      <c r="A210" s="32" t="s">
        <v>183</v>
      </c>
      <c r="B210" s="28" t="s">
        <v>248</v>
      </c>
      <c r="C210" s="28" t="s">
        <v>249</v>
      </c>
      <c r="D210" s="33" t="str">
        <f>+IFERROR(VLOOKUP(C210,Data,4,FALSE),"Not in data")</f>
        <v>T</v>
      </c>
      <c r="E210" s="34" t="s">
        <v>149</v>
      </c>
      <c r="F210" s="30">
        <v>1</v>
      </c>
      <c r="G210" s="30">
        <v>1</v>
      </c>
      <c r="H210" s="31">
        <v>6.83</v>
      </c>
      <c r="I210" s="40">
        <f t="shared" si="39"/>
        <v>6.83</v>
      </c>
      <c r="J210" s="31">
        <f>+IFERROR(VLOOKUP(C210,Data,2,FALSE),"Not in weight table")</f>
        <v>22.1</v>
      </c>
      <c r="K210" s="31">
        <f>+IFERROR(VLOOKUP(C210,Data,3,FALSE),"Not in weight table")</f>
        <v>0.579</v>
      </c>
      <c r="L210" s="44">
        <f t="shared" si="40"/>
        <v>0.150943</v>
      </c>
      <c r="M210" s="42">
        <f t="shared" si="41"/>
        <v>3.95457</v>
      </c>
      <c r="N210" s="43" t="s">
        <v>158</v>
      </c>
      <c r="O210" s="43" t="s">
        <v>158</v>
      </c>
      <c r="P210" s="43" t="s">
        <v>158</v>
      </c>
    </row>
    <row r="211" s="11" customFormat="1" spans="1:16">
      <c r="A211" s="32" t="s">
        <v>232</v>
      </c>
      <c r="B211" s="28" t="s">
        <v>205</v>
      </c>
      <c r="C211" s="28" t="s">
        <v>189</v>
      </c>
      <c r="D211" s="33" t="str">
        <f>+IFERROR(VLOOKUP(C211,Data,4,FALSE),"Not in data")</f>
        <v>S</v>
      </c>
      <c r="E211" s="34" t="s">
        <v>149</v>
      </c>
      <c r="F211" s="30">
        <v>1</v>
      </c>
      <c r="G211" s="30">
        <v>1</v>
      </c>
      <c r="H211" s="31">
        <v>2.28</v>
      </c>
      <c r="I211" s="40">
        <f t="shared" si="39"/>
        <v>2.28</v>
      </c>
      <c r="J211" s="31">
        <f>+IFERROR(VLOOKUP(C211,Data,2,FALSE),"Not in weight table")</f>
        <v>22.9</v>
      </c>
      <c r="K211" s="31">
        <f>+IFERROR(VLOOKUP(C211,Data,3,FALSE),"Not in weight table")</f>
        <v>0.668</v>
      </c>
      <c r="L211" s="44">
        <f t="shared" si="40"/>
        <v>0.052212</v>
      </c>
      <c r="M211" s="42">
        <f t="shared" si="41"/>
        <v>1.52304</v>
      </c>
      <c r="N211" s="43" t="s">
        <v>158</v>
      </c>
      <c r="O211" s="43" t="s">
        <v>158</v>
      </c>
      <c r="P211" s="43" t="s">
        <v>158</v>
      </c>
    </row>
    <row r="212" s="11" customFormat="1" spans="1:16">
      <c r="A212" s="32" t="s">
        <v>232</v>
      </c>
      <c r="B212" s="28" t="s">
        <v>205</v>
      </c>
      <c r="C212" s="28" t="s">
        <v>189</v>
      </c>
      <c r="D212" s="33" t="str">
        <f>+IFERROR(VLOOKUP(C212,Data,4,FALSE),"Not in data")</f>
        <v>S</v>
      </c>
      <c r="E212" s="34" t="s">
        <v>149</v>
      </c>
      <c r="F212" s="30">
        <v>1</v>
      </c>
      <c r="G212" s="30">
        <v>1</v>
      </c>
      <c r="H212" s="31">
        <v>6.5</v>
      </c>
      <c r="I212" s="40">
        <f t="shared" si="39"/>
        <v>6.5</v>
      </c>
      <c r="J212" s="31">
        <f>+IFERROR(VLOOKUP(C212,Data,2,FALSE),"Not in weight table")</f>
        <v>22.9</v>
      </c>
      <c r="K212" s="31">
        <f>+IFERROR(VLOOKUP(C212,Data,3,FALSE),"Not in weight table")</f>
        <v>0.668</v>
      </c>
      <c r="L212" s="44">
        <f t="shared" si="40"/>
        <v>0.14885</v>
      </c>
      <c r="M212" s="42">
        <f t="shared" si="41"/>
        <v>4.342</v>
      </c>
      <c r="N212" s="43" t="s">
        <v>158</v>
      </c>
      <c r="O212" s="43" t="s">
        <v>158</v>
      </c>
      <c r="P212" s="43" t="s">
        <v>158</v>
      </c>
    </row>
    <row r="213" s="11" customFormat="1" spans="1:16">
      <c r="A213" s="32" t="s">
        <v>232</v>
      </c>
      <c r="B213" s="28" t="s">
        <v>184</v>
      </c>
      <c r="C213" s="28" t="s">
        <v>185</v>
      </c>
      <c r="D213" s="33" t="str">
        <f>+IFERROR(VLOOKUP(C213,Data,4,FALSE),"Not in data")</f>
        <v>Not in data</v>
      </c>
      <c r="E213" s="34" t="s">
        <v>149</v>
      </c>
      <c r="F213" s="30">
        <v>1</v>
      </c>
      <c r="G213" s="30">
        <v>1</v>
      </c>
      <c r="H213" s="31">
        <v>3.73</v>
      </c>
      <c r="I213" s="40">
        <f t="shared" si="39"/>
        <v>3.73</v>
      </c>
      <c r="J213" s="31" t="str">
        <f>+IFERROR(VLOOKUP(C213,Data,2,FALSE),"Not in weight table")</f>
        <v>Not in weight table</v>
      </c>
      <c r="K213" s="31" t="str">
        <f>+IFERROR(VLOOKUP(C213,Data,3,FALSE),"Not in weight table")</f>
        <v>Not in weight table</v>
      </c>
      <c r="L213" s="44">
        <f t="shared" si="40"/>
        <v>0</v>
      </c>
      <c r="M213" s="42">
        <f t="shared" si="41"/>
        <v>0</v>
      </c>
      <c r="N213" s="43" t="s">
        <v>158</v>
      </c>
      <c r="O213" s="43" t="s">
        <v>158</v>
      </c>
      <c r="P213" s="43" t="s">
        <v>158</v>
      </c>
    </row>
    <row r="214" s="11" customFormat="1" spans="1:16">
      <c r="A214" s="32" t="s">
        <v>232</v>
      </c>
      <c r="B214" s="28" t="s">
        <v>184</v>
      </c>
      <c r="C214" s="28" t="s">
        <v>185</v>
      </c>
      <c r="D214" s="33" t="str">
        <f>+IFERROR(VLOOKUP(C214,Data,4,FALSE),"Not in data")</f>
        <v>Not in data</v>
      </c>
      <c r="E214" s="34" t="s">
        <v>149</v>
      </c>
      <c r="F214" s="30">
        <v>1</v>
      </c>
      <c r="G214" s="30">
        <v>3</v>
      </c>
      <c r="H214" s="31">
        <v>3.95</v>
      </c>
      <c r="I214" s="40">
        <f t="shared" si="39"/>
        <v>11.85</v>
      </c>
      <c r="J214" s="31" t="str">
        <f>+IFERROR(VLOOKUP(C214,Data,2,FALSE),"Not in weight table")</f>
        <v>Not in weight table</v>
      </c>
      <c r="K214" s="31" t="str">
        <f>+IFERROR(VLOOKUP(C214,Data,3,FALSE),"Not in weight table")</f>
        <v>Not in weight table</v>
      </c>
      <c r="L214" s="44">
        <f t="shared" si="40"/>
        <v>0</v>
      </c>
      <c r="M214" s="42">
        <f t="shared" si="41"/>
        <v>0</v>
      </c>
      <c r="N214" s="43" t="s">
        <v>158</v>
      </c>
      <c r="O214" s="43" t="s">
        <v>158</v>
      </c>
      <c r="P214" s="43" t="s">
        <v>158</v>
      </c>
    </row>
    <row r="215" s="11" customFormat="1" spans="1:16">
      <c r="A215" s="32" t="s">
        <v>232</v>
      </c>
      <c r="B215" s="28" t="s">
        <v>184</v>
      </c>
      <c r="C215" s="28" t="s">
        <v>185</v>
      </c>
      <c r="D215" s="33" t="str">
        <f>+IFERROR(VLOOKUP(C215,Data,4,FALSE),"Not in data")</f>
        <v>Not in data</v>
      </c>
      <c r="E215" s="34" t="s">
        <v>149</v>
      </c>
      <c r="F215" s="30">
        <v>1</v>
      </c>
      <c r="G215" s="30">
        <v>1</v>
      </c>
      <c r="H215" s="31">
        <v>3.42</v>
      </c>
      <c r="I215" s="40">
        <f t="shared" si="39"/>
        <v>3.42</v>
      </c>
      <c r="J215" s="31" t="str">
        <f>+IFERROR(VLOOKUP(C215,Data,2,FALSE),"Not in weight table")</f>
        <v>Not in weight table</v>
      </c>
      <c r="K215" s="31" t="str">
        <f>+IFERROR(VLOOKUP(C215,Data,3,FALSE),"Not in weight table")</f>
        <v>Not in weight table</v>
      </c>
      <c r="L215" s="44">
        <f t="shared" si="40"/>
        <v>0</v>
      </c>
      <c r="M215" s="42">
        <f t="shared" si="41"/>
        <v>0</v>
      </c>
      <c r="N215" s="43" t="s">
        <v>158</v>
      </c>
      <c r="O215" s="43" t="s">
        <v>158</v>
      </c>
      <c r="P215" s="43" t="s">
        <v>158</v>
      </c>
    </row>
    <row r="216" s="11" customFormat="1" spans="1:16">
      <c r="A216" s="32" t="s">
        <v>232</v>
      </c>
      <c r="B216" s="28" t="s">
        <v>184</v>
      </c>
      <c r="C216" s="28" t="s">
        <v>185</v>
      </c>
      <c r="D216" s="33" t="str">
        <f>+IFERROR(VLOOKUP(C216,Data,4,FALSE),"Not in data")</f>
        <v>Not in data</v>
      </c>
      <c r="E216" s="34" t="s">
        <v>149</v>
      </c>
      <c r="F216" s="30">
        <v>1</v>
      </c>
      <c r="G216" s="30">
        <v>1</v>
      </c>
      <c r="H216" s="31">
        <v>4.3</v>
      </c>
      <c r="I216" s="40">
        <f t="shared" si="39"/>
        <v>4.3</v>
      </c>
      <c r="J216" s="31" t="str">
        <f>+IFERROR(VLOOKUP(C216,Data,2,FALSE),"Not in weight table")</f>
        <v>Not in weight table</v>
      </c>
      <c r="K216" s="31" t="str">
        <f>+IFERROR(VLOOKUP(C216,Data,3,FALSE),"Not in weight table")</f>
        <v>Not in weight table</v>
      </c>
      <c r="L216" s="44">
        <f t="shared" si="40"/>
        <v>0</v>
      </c>
      <c r="M216" s="42">
        <f t="shared" si="41"/>
        <v>0</v>
      </c>
      <c r="N216" s="43" t="s">
        <v>158</v>
      </c>
      <c r="O216" s="43" t="s">
        <v>158</v>
      </c>
      <c r="P216" s="43" t="s">
        <v>158</v>
      </c>
    </row>
    <row r="217" s="11" customFormat="1" spans="1:16">
      <c r="A217" s="32" t="s">
        <v>232</v>
      </c>
      <c r="B217" s="28" t="s">
        <v>184</v>
      </c>
      <c r="C217" s="28" t="s">
        <v>185</v>
      </c>
      <c r="D217" s="33" t="str">
        <f>+IFERROR(VLOOKUP(C217,Data,4,FALSE),"Not in data")</f>
        <v>Not in data</v>
      </c>
      <c r="E217" s="34" t="s">
        <v>149</v>
      </c>
      <c r="F217" s="30">
        <v>1</v>
      </c>
      <c r="G217" s="30">
        <v>1</v>
      </c>
      <c r="H217" s="31">
        <v>4.6</v>
      </c>
      <c r="I217" s="40">
        <f t="shared" si="39"/>
        <v>4.6</v>
      </c>
      <c r="J217" s="31" t="str">
        <f>+IFERROR(VLOOKUP(C217,Data,2,FALSE),"Not in weight table")</f>
        <v>Not in weight table</v>
      </c>
      <c r="K217" s="31" t="str">
        <f>+IFERROR(VLOOKUP(C217,Data,3,FALSE),"Not in weight table")</f>
        <v>Not in weight table</v>
      </c>
      <c r="L217" s="44">
        <f t="shared" si="40"/>
        <v>0</v>
      </c>
      <c r="M217" s="42">
        <f t="shared" si="41"/>
        <v>0</v>
      </c>
      <c r="N217" s="43" t="s">
        <v>158</v>
      </c>
      <c r="O217" s="43" t="s">
        <v>158</v>
      </c>
      <c r="P217" s="43" t="s">
        <v>158</v>
      </c>
    </row>
    <row r="218" s="11" customFormat="1" spans="1:16">
      <c r="A218" s="32" t="s">
        <v>232</v>
      </c>
      <c r="B218" s="28" t="s">
        <v>184</v>
      </c>
      <c r="C218" s="28" t="s">
        <v>185</v>
      </c>
      <c r="D218" s="33" t="str">
        <f>+IFERROR(VLOOKUP(C218,Data,4,FALSE),"Not in data")</f>
        <v>Not in data</v>
      </c>
      <c r="E218" s="34" t="s">
        <v>149</v>
      </c>
      <c r="F218" s="30">
        <v>1</v>
      </c>
      <c r="G218" s="30">
        <v>2</v>
      </c>
      <c r="H218" s="31">
        <v>0.9</v>
      </c>
      <c r="I218" s="40">
        <f t="shared" si="39"/>
        <v>1.8</v>
      </c>
      <c r="J218" s="31" t="str">
        <f>+IFERROR(VLOOKUP(C218,Data,2,FALSE),"Not in weight table")</f>
        <v>Not in weight table</v>
      </c>
      <c r="K218" s="31" t="str">
        <f>+IFERROR(VLOOKUP(C218,Data,3,FALSE),"Not in weight table")</f>
        <v>Not in weight table</v>
      </c>
      <c r="L218" s="44">
        <f t="shared" si="40"/>
        <v>0</v>
      </c>
      <c r="M218" s="42">
        <f t="shared" si="41"/>
        <v>0</v>
      </c>
      <c r="N218" s="43" t="s">
        <v>158</v>
      </c>
      <c r="O218" s="43" t="s">
        <v>158</v>
      </c>
      <c r="P218" s="43" t="s">
        <v>158</v>
      </c>
    </row>
    <row r="219" s="11" customFormat="1" spans="1:16">
      <c r="A219" s="32" t="s">
        <v>183</v>
      </c>
      <c r="B219" s="28" t="s">
        <v>246</v>
      </c>
      <c r="C219" s="28" t="s">
        <v>247</v>
      </c>
      <c r="D219" s="33" t="str">
        <f>+IFERROR(VLOOKUP(C219,Data,4,FALSE),"Not in data")</f>
        <v>Not in data</v>
      </c>
      <c r="E219" s="34" t="s">
        <v>149</v>
      </c>
      <c r="F219" s="30">
        <v>1</v>
      </c>
      <c r="G219" s="30">
        <v>2</v>
      </c>
      <c r="H219" s="31">
        <v>2.2</v>
      </c>
      <c r="I219" s="40">
        <f t="shared" si="39"/>
        <v>4.4</v>
      </c>
      <c r="J219" s="31" t="str">
        <f>+IFERROR(VLOOKUP(C219,Data,2,FALSE),"Not in weight table")</f>
        <v>Not in weight table</v>
      </c>
      <c r="K219" s="31" t="str">
        <f>+IFERROR(VLOOKUP(C219,Data,3,FALSE),"Not in weight table")</f>
        <v>Not in weight table</v>
      </c>
      <c r="L219" s="44">
        <f t="shared" si="40"/>
        <v>0</v>
      </c>
      <c r="M219" s="42">
        <f t="shared" si="41"/>
        <v>0</v>
      </c>
      <c r="N219" s="43" t="s">
        <v>158</v>
      </c>
      <c r="O219" s="43" t="s">
        <v>158</v>
      </c>
      <c r="P219" s="43" t="s">
        <v>158</v>
      </c>
    </row>
    <row r="220" s="11" customFormat="1" spans="1:16">
      <c r="A220" s="32" t="s">
        <v>232</v>
      </c>
      <c r="B220" s="28" t="s">
        <v>205</v>
      </c>
      <c r="C220" s="28" t="s">
        <v>189</v>
      </c>
      <c r="D220" s="33" t="str">
        <f>+IFERROR(VLOOKUP(C220,Data,4,FALSE),"Not in data")</f>
        <v>S</v>
      </c>
      <c r="E220" s="34" t="s">
        <v>149</v>
      </c>
      <c r="F220" s="30">
        <v>1</v>
      </c>
      <c r="G220" s="30">
        <v>1</v>
      </c>
      <c r="H220" s="31">
        <v>1.9</v>
      </c>
      <c r="I220" s="40">
        <f t="shared" si="39"/>
        <v>1.9</v>
      </c>
      <c r="J220" s="31">
        <f>+IFERROR(VLOOKUP(C220,Data,2,FALSE),"Not in weight table")</f>
        <v>22.9</v>
      </c>
      <c r="K220" s="31">
        <f>+IFERROR(VLOOKUP(C220,Data,3,FALSE),"Not in weight table")</f>
        <v>0.668</v>
      </c>
      <c r="L220" s="44">
        <f t="shared" si="40"/>
        <v>0.04351</v>
      </c>
      <c r="M220" s="42">
        <f t="shared" si="41"/>
        <v>1.2692</v>
      </c>
      <c r="N220" s="43" t="s">
        <v>158</v>
      </c>
      <c r="O220" s="43" t="s">
        <v>158</v>
      </c>
      <c r="P220" s="43" t="s">
        <v>158</v>
      </c>
    </row>
    <row r="221" s="11" customFormat="1" spans="1:16">
      <c r="A221" s="32" t="s">
        <v>250</v>
      </c>
      <c r="B221" s="28" t="s">
        <v>251</v>
      </c>
      <c r="C221" s="28" t="s">
        <v>247</v>
      </c>
      <c r="D221" s="33" t="str">
        <f>+IFERROR(VLOOKUP(C221,Data,4,FALSE),"Not in data")</f>
        <v>Not in data</v>
      </c>
      <c r="E221" s="34" t="s">
        <v>149</v>
      </c>
      <c r="F221" s="30">
        <v>1</v>
      </c>
      <c r="G221" s="30">
        <v>1</v>
      </c>
      <c r="H221" s="31">
        <v>9.1</v>
      </c>
      <c r="I221" s="40">
        <f t="shared" si="39"/>
        <v>9.1</v>
      </c>
      <c r="J221" s="31" t="str">
        <f>+IFERROR(VLOOKUP(C221,Data,2,FALSE),"Not in weight table")</f>
        <v>Not in weight table</v>
      </c>
      <c r="K221" s="31" t="str">
        <f>+IFERROR(VLOOKUP(C221,Data,3,FALSE),"Not in weight table")</f>
        <v>Not in weight table</v>
      </c>
      <c r="L221" s="44">
        <f t="shared" si="40"/>
        <v>0</v>
      </c>
      <c r="M221" s="42">
        <f t="shared" si="41"/>
        <v>0</v>
      </c>
      <c r="N221" s="43" t="s">
        <v>158</v>
      </c>
      <c r="O221" s="43" t="s">
        <v>158</v>
      </c>
      <c r="P221" s="43" t="s">
        <v>158</v>
      </c>
    </row>
    <row r="222" s="11" customFormat="1" spans="1:16">
      <c r="A222" s="32" t="s">
        <v>250</v>
      </c>
      <c r="B222" s="28" t="s">
        <v>196</v>
      </c>
      <c r="C222" s="28" t="s">
        <v>189</v>
      </c>
      <c r="D222" s="33" t="str">
        <f>+IFERROR(VLOOKUP(C222,Data,4,FALSE),"Not in data")</f>
        <v>S</v>
      </c>
      <c r="E222" s="34" t="s">
        <v>149</v>
      </c>
      <c r="F222" s="30">
        <v>1</v>
      </c>
      <c r="G222" s="30">
        <v>1</v>
      </c>
      <c r="H222" s="31">
        <v>3.84</v>
      </c>
      <c r="I222" s="40">
        <f t="shared" si="39"/>
        <v>3.84</v>
      </c>
      <c r="J222" s="31">
        <f>+IFERROR(VLOOKUP(C222,Data,2,FALSE),"Not in weight table")</f>
        <v>22.9</v>
      </c>
      <c r="K222" s="31">
        <f>+IFERROR(VLOOKUP(C222,Data,3,FALSE),"Not in weight table")</f>
        <v>0.668</v>
      </c>
      <c r="L222" s="44">
        <f t="shared" si="40"/>
        <v>0.087936</v>
      </c>
      <c r="M222" s="42">
        <f t="shared" si="41"/>
        <v>2.56512</v>
      </c>
      <c r="N222" s="43" t="s">
        <v>158</v>
      </c>
      <c r="O222" s="43" t="s">
        <v>158</v>
      </c>
      <c r="P222" s="43" t="s">
        <v>158</v>
      </c>
    </row>
    <row r="223" s="11" customFormat="1" spans="1:16">
      <c r="A223" s="32" t="s">
        <v>250</v>
      </c>
      <c r="B223" s="28" t="s">
        <v>196</v>
      </c>
      <c r="C223" s="28" t="s">
        <v>189</v>
      </c>
      <c r="D223" s="33" t="str">
        <f>+IFERROR(VLOOKUP(C223,Data,4,FALSE),"Not in data")</f>
        <v>S</v>
      </c>
      <c r="E223" s="34" t="s">
        <v>149</v>
      </c>
      <c r="F223" s="30">
        <v>1</v>
      </c>
      <c r="G223" s="30">
        <v>1</v>
      </c>
      <c r="H223" s="31">
        <v>4.19</v>
      </c>
      <c r="I223" s="40">
        <f t="shared" si="39"/>
        <v>4.19</v>
      </c>
      <c r="J223" s="31">
        <f>+IFERROR(VLOOKUP(C223,Data,2,FALSE),"Not in weight table")</f>
        <v>22.9</v>
      </c>
      <c r="K223" s="31">
        <f>+IFERROR(VLOOKUP(C223,Data,3,FALSE),"Not in weight table")</f>
        <v>0.668</v>
      </c>
      <c r="L223" s="44">
        <f t="shared" si="40"/>
        <v>0.095951</v>
      </c>
      <c r="M223" s="42">
        <f t="shared" si="41"/>
        <v>2.79892</v>
      </c>
      <c r="N223" s="43" t="s">
        <v>158</v>
      </c>
      <c r="O223" s="43" t="s">
        <v>158</v>
      </c>
      <c r="P223" s="43" t="s">
        <v>158</v>
      </c>
    </row>
    <row r="224" s="11" customFormat="1" spans="1:16">
      <c r="A224" s="32" t="s">
        <v>250</v>
      </c>
      <c r="B224" s="28" t="s">
        <v>196</v>
      </c>
      <c r="C224" s="28" t="s">
        <v>189</v>
      </c>
      <c r="D224" s="33" t="str">
        <f>+IFERROR(VLOOKUP(C224,Data,4,FALSE),"Not in data")</f>
        <v>S</v>
      </c>
      <c r="E224" s="34" t="s">
        <v>149</v>
      </c>
      <c r="F224" s="30">
        <v>1</v>
      </c>
      <c r="G224" s="30">
        <v>1</v>
      </c>
      <c r="H224" s="31">
        <v>3.77</v>
      </c>
      <c r="I224" s="40">
        <f t="shared" si="39"/>
        <v>3.77</v>
      </c>
      <c r="J224" s="31">
        <f>+IFERROR(VLOOKUP(C224,Data,2,FALSE),"Not in weight table")</f>
        <v>22.9</v>
      </c>
      <c r="K224" s="31">
        <f>+IFERROR(VLOOKUP(C224,Data,3,FALSE),"Not in weight table")</f>
        <v>0.668</v>
      </c>
      <c r="L224" s="44">
        <f t="shared" si="40"/>
        <v>0.086333</v>
      </c>
      <c r="M224" s="42">
        <f t="shared" si="41"/>
        <v>2.51836</v>
      </c>
      <c r="N224" s="43" t="s">
        <v>158</v>
      </c>
      <c r="O224" s="43" t="s">
        <v>158</v>
      </c>
      <c r="P224" s="43" t="s">
        <v>158</v>
      </c>
    </row>
    <row r="225" s="11" customFormat="1" spans="1:16">
      <c r="A225" s="32" t="s">
        <v>250</v>
      </c>
      <c r="B225" s="28" t="s">
        <v>196</v>
      </c>
      <c r="C225" s="28" t="s">
        <v>189</v>
      </c>
      <c r="D225" s="33" t="str">
        <f>+IFERROR(VLOOKUP(C225,Data,4,FALSE),"Not in data")</f>
        <v>S</v>
      </c>
      <c r="E225" s="34" t="s">
        <v>149</v>
      </c>
      <c r="F225" s="30">
        <v>1</v>
      </c>
      <c r="G225" s="30">
        <v>1</v>
      </c>
      <c r="H225" s="31">
        <v>9.1</v>
      </c>
      <c r="I225" s="40">
        <f t="shared" ref="I225:I288" si="42">+IF(F225&lt;&gt;"",F225*G225*H225,0)</f>
        <v>9.1</v>
      </c>
      <c r="J225" s="31">
        <f>+IFERROR(VLOOKUP(C225,Data,2,FALSE),"Not in weight table")</f>
        <v>22.9</v>
      </c>
      <c r="K225" s="31">
        <f>+IFERROR(VLOOKUP(C225,Data,3,FALSE),"Not in weight table")</f>
        <v>0.668</v>
      </c>
      <c r="L225" s="44">
        <f t="shared" ref="L225:L288" si="43">+IF(ISNUMBER(J225),I225*J225/1000,0)</f>
        <v>0.20839</v>
      </c>
      <c r="M225" s="42">
        <f t="shared" ref="M225:M288" si="44">+IF(ISNUMBER(K225),I225*K225,0)</f>
        <v>6.0788</v>
      </c>
      <c r="N225" s="43" t="s">
        <v>158</v>
      </c>
      <c r="O225" s="43" t="s">
        <v>158</v>
      </c>
      <c r="P225" s="43" t="s">
        <v>158</v>
      </c>
    </row>
    <row r="226" s="11" customFormat="1" spans="1:16">
      <c r="A226" s="32" t="s">
        <v>250</v>
      </c>
      <c r="B226" s="28" t="s">
        <v>196</v>
      </c>
      <c r="C226" s="28" t="s">
        <v>189</v>
      </c>
      <c r="D226" s="33" t="str">
        <f>+IFERROR(VLOOKUP(C226,Data,4,FALSE),"Not in data")</f>
        <v>S</v>
      </c>
      <c r="E226" s="34" t="s">
        <v>149</v>
      </c>
      <c r="F226" s="30">
        <v>1</v>
      </c>
      <c r="G226" s="30">
        <v>1</v>
      </c>
      <c r="H226" s="31">
        <v>7.57</v>
      </c>
      <c r="I226" s="40">
        <f t="shared" si="42"/>
        <v>7.57</v>
      </c>
      <c r="J226" s="31">
        <f>+IFERROR(VLOOKUP(C226,Data,2,FALSE),"Not in weight table")</f>
        <v>22.9</v>
      </c>
      <c r="K226" s="31">
        <f>+IFERROR(VLOOKUP(C226,Data,3,FALSE),"Not in weight table")</f>
        <v>0.668</v>
      </c>
      <c r="L226" s="44">
        <f t="shared" si="43"/>
        <v>0.173353</v>
      </c>
      <c r="M226" s="42">
        <f t="shared" si="44"/>
        <v>5.05676</v>
      </c>
      <c r="N226" s="43" t="s">
        <v>158</v>
      </c>
      <c r="O226" s="43" t="s">
        <v>158</v>
      </c>
      <c r="P226" s="43" t="s">
        <v>158</v>
      </c>
    </row>
    <row r="227" s="11" customFormat="1" spans="1:16">
      <c r="A227" s="32" t="s">
        <v>250</v>
      </c>
      <c r="B227" s="28" t="s">
        <v>196</v>
      </c>
      <c r="C227" s="28" t="s">
        <v>189</v>
      </c>
      <c r="D227" s="33" t="str">
        <f>+IFERROR(VLOOKUP(C227,Data,4,FALSE),"Not in data")</f>
        <v>S</v>
      </c>
      <c r="E227" s="34" t="s">
        <v>149</v>
      </c>
      <c r="F227" s="30">
        <v>1</v>
      </c>
      <c r="G227" s="30">
        <v>1</v>
      </c>
      <c r="H227" s="31">
        <v>3.83</v>
      </c>
      <c r="I227" s="40">
        <f t="shared" si="42"/>
        <v>3.83</v>
      </c>
      <c r="J227" s="31">
        <f>+IFERROR(VLOOKUP(C227,Data,2,FALSE),"Not in weight table")</f>
        <v>22.9</v>
      </c>
      <c r="K227" s="31">
        <f>+IFERROR(VLOOKUP(C227,Data,3,FALSE),"Not in weight table")</f>
        <v>0.668</v>
      </c>
      <c r="L227" s="44">
        <f t="shared" si="43"/>
        <v>0.087707</v>
      </c>
      <c r="M227" s="42">
        <f t="shared" si="44"/>
        <v>2.55844</v>
      </c>
      <c r="N227" s="43" t="s">
        <v>158</v>
      </c>
      <c r="O227" s="43" t="s">
        <v>158</v>
      </c>
      <c r="P227" s="43" t="s">
        <v>158</v>
      </c>
    </row>
    <row r="228" s="11" customFormat="1" spans="1:16">
      <c r="A228" s="32" t="s">
        <v>232</v>
      </c>
      <c r="B228" s="28" t="s">
        <v>187</v>
      </c>
      <c r="C228" s="28" t="s">
        <v>185</v>
      </c>
      <c r="D228" s="33" t="str">
        <f>+IFERROR(VLOOKUP(C228,Data,4,FALSE),"Not in data")</f>
        <v>Not in data</v>
      </c>
      <c r="E228" s="34" t="s">
        <v>149</v>
      </c>
      <c r="F228" s="30">
        <v>1</v>
      </c>
      <c r="G228" s="30">
        <v>38</v>
      </c>
      <c r="H228" s="31">
        <v>4.6</v>
      </c>
      <c r="I228" s="40">
        <f t="shared" si="42"/>
        <v>174.8</v>
      </c>
      <c r="J228" s="31" t="str">
        <f>+IFERROR(VLOOKUP(C228,Data,2,FALSE),"Not in weight table")</f>
        <v>Not in weight table</v>
      </c>
      <c r="K228" s="31" t="str">
        <f>+IFERROR(VLOOKUP(C228,Data,3,FALSE),"Not in weight table")</f>
        <v>Not in weight table</v>
      </c>
      <c r="L228" s="44">
        <f t="shared" si="43"/>
        <v>0</v>
      </c>
      <c r="M228" s="42">
        <f t="shared" si="44"/>
        <v>0</v>
      </c>
      <c r="N228" s="43" t="s">
        <v>158</v>
      </c>
      <c r="O228" s="43" t="s">
        <v>158</v>
      </c>
      <c r="P228" s="43" t="s">
        <v>158</v>
      </c>
    </row>
    <row r="229" s="11" customFormat="1" spans="1:16">
      <c r="A229" s="32" t="s">
        <v>232</v>
      </c>
      <c r="B229" s="28" t="s">
        <v>187</v>
      </c>
      <c r="C229" s="28" t="s">
        <v>185</v>
      </c>
      <c r="D229" s="33" t="str">
        <f>+IFERROR(VLOOKUP(C229,Data,4,FALSE),"Not in data")</f>
        <v>Not in data</v>
      </c>
      <c r="E229" s="34" t="s">
        <v>149</v>
      </c>
      <c r="F229" s="30">
        <v>1</v>
      </c>
      <c r="G229" s="30">
        <v>38</v>
      </c>
      <c r="H229" s="31">
        <v>3.25</v>
      </c>
      <c r="I229" s="40">
        <f t="shared" si="42"/>
        <v>123.5</v>
      </c>
      <c r="J229" s="31" t="str">
        <f>+IFERROR(VLOOKUP(C229,Data,2,FALSE),"Not in weight table")</f>
        <v>Not in weight table</v>
      </c>
      <c r="K229" s="31" t="str">
        <f>+IFERROR(VLOOKUP(C229,Data,3,FALSE),"Not in weight table")</f>
        <v>Not in weight table</v>
      </c>
      <c r="L229" s="44">
        <f t="shared" si="43"/>
        <v>0</v>
      </c>
      <c r="M229" s="42">
        <f t="shared" si="44"/>
        <v>0</v>
      </c>
      <c r="N229" s="43" t="s">
        <v>158</v>
      </c>
      <c r="O229" s="43" t="s">
        <v>158</v>
      </c>
      <c r="P229" s="43" t="s">
        <v>158</v>
      </c>
    </row>
    <row r="230" s="11" customFormat="1" spans="1:16">
      <c r="A230" s="32" t="s">
        <v>232</v>
      </c>
      <c r="B230" s="28" t="s">
        <v>184</v>
      </c>
      <c r="C230" s="28" t="s">
        <v>185</v>
      </c>
      <c r="D230" s="33" t="str">
        <f>+IFERROR(VLOOKUP(C230,Data,4,FALSE),"Not in data")</f>
        <v>Not in data</v>
      </c>
      <c r="E230" s="34" t="s">
        <v>149</v>
      </c>
      <c r="F230" s="30">
        <v>1</v>
      </c>
      <c r="G230" s="30">
        <v>4</v>
      </c>
      <c r="H230" s="31">
        <v>4.5</v>
      </c>
      <c r="I230" s="40">
        <f t="shared" si="42"/>
        <v>18</v>
      </c>
      <c r="J230" s="31" t="str">
        <f>+IFERROR(VLOOKUP(C230,Data,2,FALSE),"Not in weight table")</f>
        <v>Not in weight table</v>
      </c>
      <c r="K230" s="31" t="str">
        <f>+IFERROR(VLOOKUP(C230,Data,3,FALSE),"Not in weight table")</f>
        <v>Not in weight table</v>
      </c>
      <c r="L230" s="44">
        <f t="shared" si="43"/>
        <v>0</v>
      </c>
      <c r="M230" s="42">
        <f t="shared" si="44"/>
        <v>0</v>
      </c>
      <c r="N230" s="43" t="s">
        <v>158</v>
      </c>
      <c r="O230" s="43" t="s">
        <v>158</v>
      </c>
      <c r="P230" s="43" t="s">
        <v>158</v>
      </c>
    </row>
    <row r="231" s="11" customFormat="1" spans="1:16">
      <c r="A231" s="32" t="s">
        <v>232</v>
      </c>
      <c r="B231" s="28" t="s">
        <v>193</v>
      </c>
      <c r="C231" s="28" t="s">
        <v>194</v>
      </c>
      <c r="D231" s="33" t="str">
        <f>+IFERROR(VLOOKUP(C231,Data,4,FALSE),"Not in data")</f>
        <v>T</v>
      </c>
      <c r="E231" s="34" t="s">
        <v>149</v>
      </c>
      <c r="F231" s="30">
        <v>1</v>
      </c>
      <c r="G231" s="30">
        <v>1</v>
      </c>
      <c r="H231" s="31">
        <v>7.52</v>
      </c>
      <c r="I231" s="40">
        <f t="shared" si="42"/>
        <v>7.52</v>
      </c>
      <c r="J231" s="31">
        <f>+IFERROR(VLOOKUP(C231,Data,2,FALSE),"Not in weight table")</f>
        <v>17.9</v>
      </c>
      <c r="K231" s="31">
        <f>+IFERROR(VLOOKUP(C231,Data,3,FALSE),"Not in weight table")</f>
        <v>0.583</v>
      </c>
      <c r="L231" s="44">
        <f t="shared" si="43"/>
        <v>0.134608</v>
      </c>
      <c r="M231" s="42">
        <f t="shared" si="44"/>
        <v>4.38416</v>
      </c>
      <c r="N231" s="43" t="s">
        <v>158</v>
      </c>
      <c r="O231" s="43" t="s">
        <v>158</v>
      </c>
      <c r="P231" s="43" t="s">
        <v>158</v>
      </c>
    </row>
    <row r="232" s="11" customFormat="1" spans="1:16">
      <c r="A232" s="32" t="s">
        <v>232</v>
      </c>
      <c r="B232" s="28" t="s">
        <v>193</v>
      </c>
      <c r="C232" s="28" t="s">
        <v>194</v>
      </c>
      <c r="D232" s="33" t="str">
        <f>+IFERROR(VLOOKUP(C232,Data,4,FALSE),"Not in data")</f>
        <v>T</v>
      </c>
      <c r="E232" s="34" t="s">
        <v>149</v>
      </c>
      <c r="F232" s="30">
        <v>1</v>
      </c>
      <c r="G232" s="30">
        <v>1</v>
      </c>
      <c r="H232" s="31">
        <v>15.02</v>
      </c>
      <c r="I232" s="40">
        <f t="shared" si="42"/>
        <v>15.02</v>
      </c>
      <c r="J232" s="31">
        <f>+IFERROR(VLOOKUP(C232,Data,2,FALSE),"Not in weight table")</f>
        <v>17.9</v>
      </c>
      <c r="K232" s="31">
        <f>+IFERROR(VLOOKUP(C232,Data,3,FALSE),"Not in weight table")</f>
        <v>0.583</v>
      </c>
      <c r="L232" s="44">
        <f t="shared" si="43"/>
        <v>0.268858</v>
      </c>
      <c r="M232" s="42">
        <f t="shared" si="44"/>
        <v>8.75666</v>
      </c>
      <c r="N232" s="43" t="s">
        <v>158</v>
      </c>
      <c r="O232" s="43" t="s">
        <v>158</v>
      </c>
      <c r="P232" s="43" t="s">
        <v>158</v>
      </c>
    </row>
    <row r="233" s="11" customFormat="1" spans="1:16">
      <c r="A233" s="32" t="s">
        <v>232</v>
      </c>
      <c r="B233" s="28" t="s">
        <v>193</v>
      </c>
      <c r="C233" s="28" t="s">
        <v>194</v>
      </c>
      <c r="D233" s="33" t="str">
        <f>+IFERROR(VLOOKUP(C233,Data,4,FALSE),"Not in data")</f>
        <v>T</v>
      </c>
      <c r="E233" s="34" t="s">
        <v>149</v>
      </c>
      <c r="F233" s="30">
        <v>1</v>
      </c>
      <c r="G233" s="30">
        <v>1</v>
      </c>
      <c r="H233" s="31">
        <v>9.55</v>
      </c>
      <c r="I233" s="40">
        <f t="shared" si="42"/>
        <v>9.55</v>
      </c>
      <c r="J233" s="31">
        <f>+IFERROR(VLOOKUP(C233,Data,2,FALSE),"Not in weight table")</f>
        <v>17.9</v>
      </c>
      <c r="K233" s="31">
        <f>+IFERROR(VLOOKUP(C233,Data,3,FALSE),"Not in weight table")</f>
        <v>0.583</v>
      </c>
      <c r="L233" s="44">
        <f t="shared" si="43"/>
        <v>0.170945</v>
      </c>
      <c r="M233" s="42">
        <f t="shared" si="44"/>
        <v>5.56765</v>
      </c>
      <c r="N233" s="43" t="s">
        <v>158</v>
      </c>
      <c r="O233" s="43" t="s">
        <v>158</v>
      </c>
      <c r="P233" s="43" t="s">
        <v>158</v>
      </c>
    </row>
    <row r="234" s="11" customFormat="1" spans="1:16">
      <c r="A234" s="32" t="s">
        <v>232</v>
      </c>
      <c r="B234" s="28" t="s">
        <v>193</v>
      </c>
      <c r="C234" s="28" t="s">
        <v>194</v>
      </c>
      <c r="D234" s="33" t="str">
        <f>+IFERROR(VLOOKUP(C234,Data,4,FALSE),"Not in data")</f>
        <v>T</v>
      </c>
      <c r="E234" s="34" t="s">
        <v>149</v>
      </c>
      <c r="F234" s="30">
        <v>1</v>
      </c>
      <c r="G234" s="30">
        <v>1</v>
      </c>
      <c r="H234" s="31">
        <v>15.24</v>
      </c>
      <c r="I234" s="40">
        <f t="shared" si="42"/>
        <v>15.24</v>
      </c>
      <c r="J234" s="31">
        <f>+IFERROR(VLOOKUP(C234,Data,2,FALSE),"Not in weight table")</f>
        <v>17.9</v>
      </c>
      <c r="K234" s="31">
        <f>+IFERROR(VLOOKUP(C234,Data,3,FALSE),"Not in weight table")</f>
        <v>0.583</v>
      </c>
      <c r="L234" s="44">
        <f t="shared" si="43"/>
        <v>0.272796</v>
      </c>
      <c r="M234" s="42">
        <f t="shared" si="44"/>
        <v>8.88492</v>
      </c>
      <c r="N234" s="43" t="s">
        <v>158</v>
      </c>
      <c r="O234" s="43" t="s">
        <v>158</v>
      </c>
      <c r="P234" s="43" t="s">
        <v>158</v>
      </c>
    </row>
    <row r="235" s="11" customFormat="1" spans="1:16">
      <c r="A235" s="32" t="s">
        <v>232</v>
      </c>
      <c r="B235" s="28" t="s">
        <v>193</v>
      </c>
      <c r="C235" s="28" t="s">
        <v>194</v>
      </c>
      <c r="D235" s="33" t="str">
        <f>+IFERROR(VLOOKUP(C235,Data,4,FALSE),"Not in data")</f>
        <v>T</v>
      </c>
      <c r="E235" s="34" t="s">
        <v>149</v>
      </c>
      <c r="F235" s="30">
        <v>1</v>
      </c>
      <c r="G235" s="30">
        <v>1</v>
      </c>
      <c r="H235" s="31">
        <v>7.7</v>
      </c>
      <c r="I235" s="40">
        <f t="shared" si="42"/>
        <v>7.7</v>
      </c>
      <c r="J235" s="31">
        <f>+IFERROR(VLOOKUP(C235,Data,2,FALSE),"Not in weight table")</f>
        <v>17.9</v>
      </c>
      <c r="K235" s="31">
        <f>+IFERROR(VLOOKUP(C235,Data,3,FALSE),"Not in weight table")</f>
        <v>0.583</v>
      </c>
      <c r="L235" s="44">
        <f t="shared" si="43"/>
        <v>0.13783</v>
      </c>
      <c r="M235" s="42">
        <f t="shared" si="44"/>
        <v>4.4891</v>
      </c>
      <c r="N235" s="43" t="s">
        <v>158</v>
      </c>
      <c r="O235" s="43" t="s">
        <v>158</v>
      </c>
      <c r="P235" s="43" t="s">
        <v>158</v>
      </c>
    </row>
    <row r="236" s="11" customFormat="1" spans="1:16">
      <c r="A236" s="32" t="s">
        <v>232</v>
      </c>
      <c r="B236" s="28" t="s">
        <v>195</v>
      </c>
      <c r="C236" s="28" t="s">
        <v>192</v>
      </c>
      <c r="D236" s="33" t="str">
        <f>+IFERROR(VLOOKUP(C236,Data,4,FALSE),"Not in data")</f>
        <v>T</v>
      </c>
      <c r="E236" s="34" t="s">
        <v>149</v>
      </c>
      <c r="F236" s="30">
        <v>1</v>
      </c>
      <c r="G236" s="30">
        <v>1</v>
      </c>
      <c r="H236" s="31">
        <v>3.9</v>
      </c>
      <c r="I236" s="40">
        <f t="shared" si="42"/>
        <v>3.9</v>
      </c>
      <c r="J236" s="31">
        <f>+IFERROR(VLOOKUP(C236,Data,2,FALSE),"Not in weight table")</f>
        <v>14.6</v>
      </c>
      <c r="K236" s="31">
        <f>+IFERROR(VLOOKUP(C236,Data,3,FALSE),"Not in weight table")</f>
        <v>0.33</v>
      </c>
      <c r="L236" s="44">
        <f t="shared" si="43"/>
        <v>0.05694</v>
      </c>
      <c r="M236" s="42">
        <f t="shared" si="44"/>
        <v>1.287</v>
      </c>
      <c r="N236" s="43" t="s">
        <v>158</v>
      </c>
      <c r="O236" s="43" t="s">
        <v>158</v>
      </c>
      <c r="P236" s="43" t="s">
        <v>158</v>
      </c>
    </row>
    <row r="237" s="11" customFormat="1" spans="1:16">
      <c r="A237" s="32" t="s">
        <v>232</v>
      </c>
      <c r="B237" s="28" t="s">
        <v>195</v>
      </c>
      <c r="C237" s="28" t="s">
        <v>192</v>
      </c>
      <c r="D237" s="33" t="str">
        <f>+IFERROR(VLOOKUP(C237,Data,4,FALSE),"Not in data")</f>
        <v>T</v>
      </c>
      <c r="E237" s="34" t="s">
        <v>149</v>
      </c>
      <c r="F237" s="30">
        <v>1</v>
      </c>
      <c r="G237" s="30">
        <v>1</v>
      </c>
      <c r="H237" s="31">
        <v>2.2</v>
      </c>
      <c r="I237" s="40">
        <f t="shared" si="42"/>
        <v>2.2</v>
      </c>
      <c r="J237" s="31">
        <f>+IFERROR(VLOOKUP(C237,Data,2,FALSE),"Not in weight table")</f>
        <v>14.6</v>
      </c>
      <c r="K237" s="31">
        <f>+IFERROR(VLOOKUP(C237,Data,3,FALSE),"Not in weight table")</f>
        <v>0.33</v>
      </c>
      <c r="L237" s="44">
        <f t="shared" si="43"/>
        <v>0.03212</v>
      </c>
      <c r="M237" s="42">
        <f t="shared" si="44"/>
        <v>0.726</v>
      </c>
      <c r="N237" s="43" t="s">
        <v>158</v>
      </c>
      <c r="O237" s="43" t="s">
        <v>158</v>
      </c>
      <c r="P237" s="43" t="s">
        <v>158</v>
      </c>
    </row>
    <row r="238" s="11" customFormat="1" spans="1:16">
      <c r="A238" s="32" t="s">
        <v>232</v>
      </c>
      <c r="B238" s="28" t="s">
        <v>195</v>
      </c>
      <c r="C238" s="28" t="s">
        <v>192</v>
      </c>
      <c r="D238" s="33" t="str">
        <f>+IFERROR(VLOOKUP(C238,Data,4,FALSE),"Not in data")</f>
        <v>T</v>
      </c>
      <c r="E238" s="34" t="s">
        <v>149</v>
      </c>
      <c r="F238" s="30">
        <v>1</v>
      </c>
      <c r="G238" s="30">
        <v>4</v>
      </c>
      <c r="H238" s="31">
        <v>3.9</v>
      </c>
      <c r="I238" s="40">
        <f t="shared" si="42"/>
        <v>15.6</v>
      </c>
      <c r="J238" s="31">
        <f>+IFERROR(VLOOKUP(C238,Data,2,FALSE),"Not in weight table")</f>
        <v>14.6</v>
      </c>
      <c r="K238" s="31">
        <f>+IFERROR(VLOOKUP(C238,Data,3,FALSE),"Not in weight table")</f>
        <v>0.33</v>
      </c>
      <c r="L238" s="44">
        <f t="shared" si="43"/>
        <v>0.22776</v>
      </c>
      <c r="M238" s="42">
        <f t="shared" si="44"/>
        <v>5.148</v>
      </c>
      <c r="N238" s="43" t="s">
        <v>158</v>
      </c>
      <c r="O238" s="43" t="s">
        <v>158</v>
      </c>
      <c r="P238" s="43" t="s">
        <v>158</v>
      </c>
    </row>
    <row r="239" s="11" customFormat="1" spans="1:16">
      <c r="A239" s="32" t="s">
        <v>232</v>
      </c>
      <c r="B239" s="28" t="s">
        <v>195</v>
      </c>
      <c r="C239" s="28" t="s">
        <v>192</v>
      </c>
      <c r="D239" s="33" t="str">
        <f>+IFERROR(VLOOKUP(C239,Data,4,FALSE),"Not in data")</f>
        <v>T</v>
      </c>
      <c r="E239" s="34" t="s">
        <v>149</v>
      </c>
      <c r="F239" s="30">
        <v>1</v>
      </c>
      <c r="G239" s="30">
        <v>1</v>
      </c>
      <c r="H239" s="31">
        <v>2.4</v>
      </c>
      <c r="I239" s="40">
        <f t="shared" si="42"/>
        <v>2.4</v>
      </c>
      <c r="J239" s="31">
        <f>+IFERROR(VLOOKUP(C239,Data,2,FALSE),"Not in weight table")</f>
        <v>14.6</v>
      </c>
      <c r="K239" s="31">
        <f>+IFERROR(VLOOKUP(C239,Data,3,FALSE),"Not in weight table")</f>
        <v>0.33</v>
      </c>
      <c r="L239" s="44">
        <f t="shared" si="43"/>
        <v>0.03504</v>
      </c>
      <c r="M239" s="42">
        <f t="shared" si="44"/>
        <v>0.792</v>
      </c>
      <c r="N239" s="43" t="s">
        <v>158</v>
      </c>
      <c r="O239" s="43" t="s">
        <v>158</v>
      </c>
      <c r="P239" s="43" t="s">
        <v>158</v>
      </c>
    </row>
    <row r="240" s="11" customFormat="1" spans="1:16">
      <c r="A240" s="32" t="s">
        <v>232</v>
      </c>
      <c r="B240" s="28" t="s">
        <v>195</v>
      </c>
      <c r="C240" s="28" t="s">
        <v>192</v>
      </c>
      <c r="D240" s="33" t="str">
        <f>+IFERROR(VLOOKUP(C240,Data,4,FALSE),"Not in data")</f>
        <v>T</v>
      </c>
      <c r="E240" s="34" t="s">
        <v>149</v>
      </c>
      <c r="F240" s="30">
        <v>1</v>
      </c>
      <c r="G240" s="30">
        <v>1</v>
      </c>
      <c r="H240" s="31">
        <v>4</v>
      </c>
      <c r="I240" s="40">
        <f t="shared" si="42"/>
        <v>4</v>
      </c>
      <c r="J240" s="31">
        <f>+IFERROR(VLOOKUP(C240,Data,2,FALSE),"Not in weight table")</f>
        <v>14.6</v>
      </c>
      <c r="K240" s="31">
        <f>+IFERROR(VLOOKUP(C240,Data,3,FALSE),"Not in weight table")</f>
        <v>0.33</v>
      </c>
      <c r="L240" s="44">
        <f t="shared" si="43"/>
        <v>0.0584</v>
      </c>
      <c r="M240" s="42">
        <f t="shared" si="44"/>
        <v>1.32</v>
      </c>
      <c r="N240" s="43" t="s">
        <v>158</v>
      </c>
      <c r="O240" s="43" t="s">
        <v>158</v>
      </c>
      <c r="P240" s="43" t="s">
        <v>158</v>
      </c>
    </row>
    <row r="241" s="11" customFormat="1" spans="1:16">
      <c r="A241" s="32" t="s">
        <v>232</v>
      </c>
      <c r="B241" s="28" t="s">
        <v>252</v>
      </c>
      <c r="C241" s="28" t="s">
        <v>253</v>
      </c>
      <c r="D241" s="33" t="str">
        <f>+IFERROR(VLOOKUP(C241,Data,4,FALSE),"Not in data")</f>
        <v>S</v>
      </c>
      <c r="E241" s="34" t="s">
        <v>149</v>
      </c>
      <c r="F241" s="30">
        <v>1</v>
      </c>
      <c r="G241" s="30">
        <v>1</v>
      </c>
      <c r="H241" s="31">
        <v>5.1</v>
      </c>
      <c r="I241" s="40">
        <f t="shared" si="42"/>
        <v>5.1</v>
      </c>
      <c r="J241" s="31">
        <f>+IFERROR(VLOOKUP(C241,Data,2,FALSE),"Not in weight table")</f>
        <v>55.2</v>
      </c>
      <c r="K241" s="31">
        <f>+IFERROR(VLOOKUP(C241,Data,3,FALSE),"Not in weight table")</f>
        <v>1.12</v>
      </c>
      <c r="L241" s="44">
        <f t="shared" si="43"/>
        <v>0.28152</v>
      </c>
      <c r="M241" s="42">
        <f t="shared" si="44"/>
        <v>5.712</v>
      </c>
      <c r="N241" s="43" t="s">
        <v>158</v>
      </c>
      <c r="O241" s="43" t="s">
        <v>158</v>
      </c>
      <c r="P241" s="43" t="s">
        <v>158</v>
      </c>
    </row>
    <row r="242" s="11" customFormat="1" spans="1:16">
      <c r="A242" s="32" t="s">
        <v>232</v>
      </c>
      <c r="B242" s="28" t="s">
        <v>238</v>
      </c>
      <c r="C242" s="28" t="s">
        <v>194</v>
      </c>
      <c r="D242" s="33" t="str">
        <f>+IFERROR(VLOOKUP(C242,Data,4,FALSE),"Not in data")</f>
        <v>T</v>
      </c>
      <c r="E242" s="34" t="s">
        <v>149</v>
      </c>
      <c r="F242" s="30">
        <v>1</v>
      </c>
      <c r="G242" s="30">
        <v>17</v>
      </c>
      <c r="H242" s="31">
        <v>2.1</v>
      </c>
      <c r="I242" s="40">
        <f t="shared" si="42"/>
        <v>35.7</v>
      </c>
      <c r="J242" s="31">
        <f>+IFERROR(VLOOKUP(C242,Data,2,FALSE),"Not in weight table")</f>
        <v>17.9</v>
      </c>
      <c r="K242" s="31">
        <f>+IFERROR(VLOOKUP(C242,Data,3,FALSE),"Not in weight table")</f>
        <v>0.583</v>
      </c>
      <c r="L242" s="44">
        <f t="shared" si="43"/>
        <v>0.63903</v>
      </c>
      <c r="M242" s="42">
        <f t="shared" si="44"/>
        <v>20.8131</v>
      </c>
      <c r="N242" s="43" t="s">
        <v>158</v>
      </c>
      <c r="O242" s="43" t="s">
        <v>158</v>
      </c>
      <c r="P242" s="43" t="s">
        <v>158</v>
      </c>
    </row>
    <row r="243" s="11" customFormat="1" spans="1:16">
      <c r="A243" s="32" t="s">
        <v>232</v>
      </c>
      <c r="B243" s="28" t="s">
        <v>191</v>
      </c>
      <c r="C243" s="28" t="s">
        <v>192</v>
      </c>
      <c r="D243" s="33" t="str">
        <f>+IFERROR(VLOOKUP(C243,Data,4,FALSE),"Not in data")</f>
        <v>T</v>
      </c>
      <c r="E243" s="34" t="s">
        <v>149</v>
      </c>
      <c r="F243" s="30">
        <v>1</v>
      </c>
      <c r="G243" s="30">
        <v>16</v>
      </c>
      <c r="H243" s="31">
        <v>2.1</v>
      </c>
      <c r="I243" s="40">
        <f t="shared" si="42"/>
        <v>33.6</v>
      </c>
      <c r="J243" s="31">
        <f>+IFERROR(VLOOKUP(C243,Data,2,FALSE),"Not in weight table")</f>
        <v>14.6</v>
      </c>
      <c r="K243" s="31">
        <f>+IFERROR(VLOOKUP(C243,Data,3,FALSE),"Not in weight table")</f>
        <v>0.33</v>
      </c>
      <c r="L243" s="44">
        <f t="shared" si="43"/>
        <v>0.49056</v>
      </c>
      <c r="M243" s="42">
        <f t="shared" si="44"/>
        <v>11.088</v>
      </c>
      <c r="N243" s="43" t="s">
        <v>158</v>
      </c>
      <c r="O243" s="43" t="s">
        <v>158</v>
      </c>
      <c r="P243" s="43" t="s">
        <v>158</v>
      </c>
    </row>
    <row r="244" s="11" customFormat="1" spans="1:16">
      <c r="A244" s="32" t="s">
        <v>232</v>
      </c>
      <c r="B244" s="28" t="s">
        <v>191</v>
      </c>
      <c r="C244" s="28" t="s">
        <v>192</v>
      </c>
      <c r="D244" s="33" t="str">
        <f>+IFERROR(VLOOKUP(C244,Data,4,FALSE),"Not in data")</f>
        <v>T</v>
      </c>
      <c r="E244" s="34" t="s">
        <v>149</v>
      </c>
      <c r="F244" s="30">
        <v>1</v>
      </c>
      <c r="G244" s="30">
        <v>1</v>
      </c>
      <c r="H244" s="31">
        <v>1.5</v>
      </c>
      <c r="I244" s="40">
        <f t="shared" si="42"/>
        <v>1.5</v>
      </c>
      <c r="J244" s="31">
        <f>+IFERROR(VLOOKUP(C244,Data,2,FALSE),"Not in weight table")</f>
        <v>14.6</v>
      </c>
      <c r="K244" s="31">
        <f>+IFERROR(VLOOKUP(C244,Data,3,FALSE),"Not in weight table")</f>
        <v>0.33</v>
      </c>
      <c r="L244" s="44">
        <f t="shared" si="43"/>
        <v>0.0219</v>
      </c>
      <c r="M244" s="42">
        <f t="shared" si="44"/>
        <v>0.495</v>
      </c>
      <c r="N244" s="43" t="s">
        <v>158</v>
      </c>
      <c r="O244" s="43" t="s">
        <v>158</v>
      </c>
      <c r="P244" s="43" t="s">
        <v>158</v>
      </c>
    </row>
    <row r="245" s="11" customFormat="1" spans="1:16">
      <c r="A245" s="32" t="s">
        <v>232</v>
      </c>
      <c r="B245" s="28" t="s">
        <v>191</v>
      </c>
      <c r="C245" s="28" t="s">
        <v>192</v>
      </c>
      <c r="D245" s="33" t="str">
        <f>+IFERROR(VLOOKUP(C245,Data,4,FALSE),"Not in data")</f>
        <v>T</v>
      </c>
      <c r="E245" s="34" t="s">
        <v>149</v>
      </c>
      <c r="F245" s="30">
        <v>1</v>
      </c>
      <c r="G245" s="30">
        <v>1</v>
      </c>
      <c r="H245" s="31">
        <v>6.5</v>
      </c>
      <c r="I245" s="40">
        <f t="shared" si="42"/>
        <v>6.5</v>
      </c>
      <c r="J245" s="31">
        <f>+IFERROR(VLOOKUP(C245,Data,2,FALSE),"Not in weight table")</f>
        <v>14.6</v>
      </c>
      <c r="K245" s="31">
        <f>+IFERROR(VLOOKUP(C245,Data,3,FALSE),"Not in weight table")</f>
        <v>0.33</v>
      </c>
      <c r="L245" s="44">
        <f t="shared" si="43"/>
        <v>0.0949</v>
      </c>
      <c r="M245" s="42">
        <f t="shared" si="44"/>
        <v>2.145</v>
      </c>
      <c r="N245" s="43" t="s">
        <v>158</v>
      </c>
      <c r="O245" s="43" t="s">
        <v>158</v>
      </c>
      <c r="P245" s="43" t="s">
        <v>158</v>
      </c>
    </row>
    <row r="246" s="11" customFormat="1" spans="1:16">
      <c r="A246" s="32" t="s">
        <v>232</v>
      </c>
      <c r="B246" s="28" t="s">
        <v>193</v>
      </c>
      <c r="C246" s="28" t="s">
        <v>194</v>
      </c>
      <c r="D246" s="33" t="str">
        <f>+IFERROR(VLOOKUP(C246,Data,4,FALSE),"Not in data")</f>
        <v>T</v>
      </c>
      <c r="E246" s="34" t="s">
        <v>149</v>
      </c>
      <c r="F246" s="30">
        <v>1</v>
      </c>
      <c r="G246" s="30">
        <v>1</v>
      </c>
      <c r="H246" s="31">
        <v>5.7</v>
      </c>
      <c r="I246" s="40">
        <f t="shared" si="42"/>
        <v>5.7</v>
      </c>
      <c r="J246" s="31">
        <f>+IFERROR(VLOOKUP(C246,Data,2,FALSE),"Not in weight table")</f>
        <v>17.9</v>
      </c>
      <c r="K246" s="31">
        <f>+IFERROR(VLOOKUP(C246,Data,3,FALSE),"Not in weight table")</f>
        <v>0.583</v>
      </c>
      <c r="L246" s="44">
        <f t="shared" si="43"/>
        <v>0.10203</v>
      </c>
      <c r="M246" s="42">
        <f t="shared" si="44"/>
        <v>3.3231</v>
      </c>
      <c r="N246" s="43" t="s">
        <v>158</v>
      </c>
      <c r="O246" s="43" t="s">
        <v>158</v>
      </c>
      <c r="P246" s="43" t="s">
        <v>158</v>
      </c>
    </row>
    <row r="247" s="11" customFormat="1" spans="1:16">
      <c r="A247" s="32" t="s">
        <v>183</v>
      </c>
      <c r="B247" s="28" t="s">
        <v>246</v>
      </c>
      <c r="C247" s="28" t="s">
        <v>247</v>
      </c>
      <c r="D247" s="33" t="str">
        <f>+IFERROR(VLOOKUP(C247,Data,4,FALSE),"Not in data")</f>
        <v>Not in data</v>
      </c>
      <c r="E247" s="34" t="s">
        <v>149</v>
      </c>
      <c r="F247" s="30">
        <v>1</v>
      </c>
      <c r="G247" s="30">
        <v>1</v>
      </c>
      <c r="H247" s="31">
        <v>1.6</v>
      </c>
      <c r="I247" s="40">
        <f t="shared" si="42"/>
        <v>1.6</v>
      </c>
      <c r="J247" s="31" t="str">
        <f>+IFERROR(VLOOKUP(C247,Data,2,FALSE),"Not in weight table")</f>
        <v>Not in weight table</v>
      </c>
      <c r="K247" s="31" t="str">
        <f>+IFERROR(VLOOKUP(C247,Data,3,FALSE),"Not in weight table")</f>
        <v>Not in weight table</v>
      </c>
      <c r="L247" s="44">
        <f t="shared" si="43"/>
        <v>0</v>
      </c>
      <c r="M247" s="42">
        <f t="shared" si="44"/>
        <v>0</v>
      </c>
      <c r="N247" s="43" t="s">
        <v>158</v>
      </c>
      <c r="O247" s="43" t="s">
        <v>158</v>
      </c>
      <c r="P247" s="43" t="s">
        <v>158</v>
      </c>
    </row>
    <row r="248" s="11" customFormat="1" spans="1:16">
      <c r="A248" s="32" t="s">
        <v>250</v>
      </c>
      <c r="B248" s="28" t="s">
        <v>251</v>
      </c>
      <c r="C248" s="28" t="s">
        <v>247</v>
      </c>
      <c r="D248" s="33" t="str">
        <f>+IFERROR(VLOOKUP(C248,Data,4,FALSE),"Not in data")</f>
        <v>Not in data</v>
      </c>
      <c r="E248" s="34" t="s">
        <v>149</v>
      </c>
      <c r="F248" s="30">
        <v>1</v>
      </c>
      <c r="G248" s="30">
        <v>1</v>
      </c>
      <c r="H248" s="31">
        <v>9.1</v>
      </c>
      <c r="I248" s="40">
        <f t="shared" si="42"/>
        <v>9.1</v>
      </c>
      <c r="J248" s="31" t="str">
        <f>+IFERROR(VLOOKUP(C248,Data,2,FALSE),"Not in weight table")</f>
        <v>Not in weight table</v>
      </c>
      <c r="K248" s="31" t="str">
        <f>+IFERROR(VLOOKUP(C248,Data,3,FALSE),"Not in weight table")</f>
        <v>Not in weight table</v>
      </c>
      <c r="L248" s="44">
        <f t="shared" si="43"/>
        <v>0</v>
      </c>
      <c r="M248" s="42">
        <f t="shared" si="44"/>
        <v>0</v>
      </c>
      <c r="N248" s="43" t="s">
        <v>158</v>
      </c>
      <c r="O248" s="43" t="s">
        <v>158</v>
      </c>
      <c r="P248" s="43" t="s">
        <v>158</v>
      </c>
    </row>
    <row r="249" s="11" customFormat="1" spans="1:16">
      <c r="A249" s="32" t="s">
        <v>250</v>
      </c>
      <c r="B249" s="28" t="s">
        <v>196</v>
      </c>
      <c r="C249" s="28" t="s">
        <v>189</v>
      </c>
      <c r="D249" s="33" t="str">
        <f>+IFERROR(VLOOKUP(C249,Data,4,FALSE),"Not in data")</f>
        <v>S</v>
      </c>
      <c r="E249" s="34" t="s">
        <v>149</v>
      </c>
      <c r="F249" s="30">
        <v>1</v>
      </c>
      <c r="G249" s="30">
        <v>1</v>
      </c>
      <c r="H249" s="31">
        <v>3.9</v>
      </c>
      <c r="I249" s="40">
        <f t="shared" si="42"/>
        <v>3.9</v>
      </c>
      <c r="J249" s="31">
        <f>+IFERROR(VLOOKUP(C249,Data,2,FALSE),"Not in weight table")</f>
        <v>22.9</v>
      </c>
      <c r="K249" s="31">
        <f>+IFERROR(VLOOKUP(C249,Data,3,FALSE),"Not in weight table")</f>
        <v>0.668</v>
      </c>
      <c r="L249" s="44">
        <f t="shared" si="43"/>
        <v>0.08931</v>
      </c>
      <c r="M249" s="42">
        <f t="shared" si="44"/>
        <v>2.6052</v>
      </c>
      <c r="N249" s="43" t="s">
        <v>158</v>
      </c>
      <c r="O249" s="43" t="s">
        <v>158</v>
      </c>
      <c r="P249" s="43" t="s">
        <v>158</v>
      </c>
    </row>
    <row r="250" s="11" customFormat="1" spans="1:16">
      <c r="A250" s="32" t="s">
        <v>250</v>
      </c>
      <c r="B250" s="28" t="s">
        <v>196</v>
      </c>
      <c r="C250" s="28" t="s">
        <v>189</v>
      </c>
      <c r="D250" s="33" t="str">
        <f>+IFERROR(VLOOKUP(C250,Data,4,FALSE),"Not in data")</f>
        <v>S</v>
      </c>
      <c r="E250" s="34" t="s">
        <v>149</v>
      </c>
      <c r="F250" s="30">
        <v>1</v>
      </c>
      <c r="G250" s="30">
        <v>1</v>
      </c>
      <c r="H250" s="31">
        <v>2.7</v>
      </c>
      <c r="I250" s="40">
        <f t="shared" si="42"/>
        <v>2.7</v>
      </c>
      <c r="J250" s="31">
        <f>+IFERROR(VLOOKUP(C250,Data,2,FALSE),"Not in weight table")</f>
        <v>22.9</v>
      </c>
      <c r="K250" s="31">
        <f>+IFERROR(VLOOKUP(C250,Data,3,FALSE),"Not in weight table")</f>
        <v>0.668</v>
      </c>
      <c r="L250" s="44">
        <f t="shared" si="43"/>
        <v>0.06183</v>
      </c>
      <c r="M250" s="42">
        <f t="shared" si="44"/>
        <v>1.8036</v>
      </c>
      <c r="N250" s="43" t="s">
        <v>158</v>
      </c>
      <c r="O250" s="43" t="s">
        <v>158</v>
      </c>
      <c r="P250" s="43" t="s">
        <v>158</v>
      </c>
    </row>
    <row r="251" s="11" customFormat="1" spans="1:16">
      <c r="A251" s="32" t="s">
        <v>250</v>
      </c>
      <c r="B251" s="28" t="s">
        <v>196</v>
      </c>
      <c r="C251" s="28" t="s">
        <v>189</v>
      </c>
      <c r="D251" s="33" t="str">
        <f>+IFERROR(VLOOKUP(C251,Data,4,FALSE),"Not in data")</f>
        <v>S</v>
      </c>
      <c r="E251" s="34" t="s">
        <v>149</v>
      </c>
      <c r="F251" s="30">
        <v>1</v>
      </c>
      <c r="G251" s="30">
        <v>1</v>
      </c>
      <c r="H251" s="31">
        <v>3.8</v>
      </c>
      <c r="I251" s="40">
        <f t="shared" si="42"/>
        <v>3.8</v>
      </c>
      <c r="J251" s="31">
        <f>+IFERROR(VLOOKUP(C251,Data,2,FALSE),"Not in weight table")</f>
        <v>22.9</v>
      </c>
      <c r="K251" s="31">
        <f>+IFERROR(VLOOKUP(C251,Data,3,FALSE),"Not in weight table")</f>
        <v>0.668</v>
      </c>
      <c r="L251" s="44">
        <f t="shared" si="43"/>
        <v>0.08702</v>
      </c>
      <c r="M251" s="42">
        <f t="shared" si="44"/>
        <v>2.5384</v>
      </c>
      <c r="N251" s="43" t="s">
        <v>158</v>
      </c>
      <c r="O251" s="43" t="s">
        <v>158</v>
      </c>
      <c r="P251" s="43" t="s">
        <v>158</v>
      </c>
    </row>
    <row r="252" s="11" customFormat="1" spans="1:16">
      <c r="A252" s="32" t="s">
        <v>250</v>
      </c>
      <c r="B252" s="28" t="s">
        <v>196</v>
      </c>
      <c r="C252" s="28" t="s">
        <v>189</v>
      </c>
      <c r="D252" s="33" t="str">
        <f>+IFERROR(VLOOKUP(C252,Data,4,FALSE),"Not in data")</f>
        <v>S</v>
      </c>
      <c r="E252" s="34" t="s">
        <v>149</v>
      </c>
      <c r="F252" s="30">
        <v>1</v>
      </c>
      <c r="G252" s="30">
        <v>1</v>
      </c>
      <c r="H252" s="31">
        <v>7.4</v>
      </c>
      <c r="I252" s="40">
        <f t="shared" si="42"/>
        <v>7.4</v>
      </c>
      <c r="J252" s="31">
        <f>+IFERROR(VLOOKUP(C252,Data,2,FALSE),"Not in weight table")</f>
        <v>22.9</v>
      </c>
      <c r="K252" s="31">
        <f>+IFERROR(VLOOKUP(C252,Data,3,FALSE),"Not in weight table")</f>
        <v>0.668</v>
      </c>
      <c r="L252" s="44">
        <f t="shared" si="43"/>
        <v>0.16946</v>
      </c>
      <c r="M252" s="42">
        <f t="shared" si="44"/>
        <v>4.9432</v>
      </c>
      <c r="N252" s="43" t="s">
        <v>158</v>
      </c>
      <c r="O252" s="43" t="s">
        <v>158</v>
      </c>
      <c r="P252" s="43" t="s">
        <v>158</v>
      </c>
    </row>
    <row r="253" s="11" customFormat="1" spans="1:16">
      <c r="A253" s="32" t="s">
        <v>250</v>
      </c>
      <c r="B253" s="28" t="s">
        <v>196</v>
      </c>
      <c r="C253" s="28" t="s">
        <v>189</v>
      </c>
      <c r="D253" s="33" t="str">
        <f>+IFERROR(VLOOKUP(C253,Data,4,FALSE),"Not in data")</f>
        <v>S</v>
      </c>
      <c r="E253" s="34" t="s">
        <v>149</v>
      </c>
      <c r="F253" s="30">
        <v>1</v>
      </c>
      <c r="G253" s="30">
        <v>1</v>
      </c>
      <c r="H253" s="31">
        <v>7.7</v>
      </c>
      <c r="I253" s="40">
        <f t="shared" si="42"/>
        <v>7.7</v>
      </c>
      <c r="J253" s="31">
        <f>+IFERROR(VLOOKUP(C253,Data,2,FALSE),"Not in weight table")</f>
        <v>22.9</v>
      </c>
      <c r="K253" s="31">
        <f>+IFERROR(VLOOKUP(C253,Data,3,FALSE),"Not in weight table")</f>
        <v>0.668</v>
      </c>
      <c r="L253" s="44">
        <f t="shared" si="43"/>
        <v>0.17633</v>
      </c>
      <c r="M253" s="42">
        <f t="shared" si="44"/>
        <v>5.1436</v>
      </c>
      <c r="N253" s="43" t="s">
        <v>158</v>
      </c>
      <c r="O253" s="43" t="s">
        <v>158</v>
      </c>
      <c r="P253" s="43" t="s">
        <v>158</v>
      </c>
    </row>
    <row r="254" s="11" customFormat="1" spans="1:16">
      <c r="A254" s="32" t="s">
        <v>250</v>
      </c>
      <c r="B254" s="28" t="s">
        <v>196</v>
      </c>
      <c r="C254" s="28" t="s">
        <v>189</v>
      </c>
      <c r="D254" s="33" t="str">
        <f>+IFERROR(VLOOKUP(C254,Data,4,FALSE),"Not in data")</f>
        <v>S</v>
      </c>
      <c r="E254" s="34" t="s">
        <v>149</v>
      </c>
      <c r="F254" s="30">
        <v>1</v>
      </c>
      <c r="G254" s="30">
        <v>1</v>
      </c>
      <c r="H254" s="31">
        <v>3.8</v>
      </c>
      <c r="I254" s="40">
        <f t="shared" si="42"/>
        <v>3.8</v>
      </c>
      <c r="J254" s="31">
        <f>+IFERROR(VLOOKUP(C254,Data,2,FALSE),"Not in weight table")</f>
        <v>22.9</v>
      </c>
      <c r="K254" s="31">
        <f>+IFERROR(VLOOKUP(C254,Data,3,FALSE),"Not in weight table")</f>
        <v>0.668</v>
      </c>
      <c r="L254" s="44">
        <f t="shared" si="43"/>
        <v>0.08702</v>
      </c>
      <c r="M254" s="42">
        <f t="shared" si="44"/>
        <v>2.5384</v>
      </c>
      <c r="N254" s="43" t="s">
        <v>158</v>
      </c>
      <c r="O254" s="43" t="s">
        <v>158</v>
      </c>
      <c r="P254" s="43" t="s">
        <v>158</v>
      </c>
    </row>
    <row r="255" s="11" customFormat="1" spans="1:16">
      <c r="A255" s="32" t="s">
        <v>250</v>
      </c>
      <c r="B255" s="28" t="s">
        <v>196</v>
      </c>
      <c r="C255" s="28" t="s">
        <v>189</v>
      </c>
      <c r="D255" s="33" t="str">
        <f>+IFERROR(VLOOKUP(C255,Data,4,FALSE),"Not in data")</f>
        <v>S</v>
      </c>
      <c r="E255" s="34" t="s">
        <v>149</v>
      </c>
      <c r="F255" s="30">
        <v>1</v>
      </c>
      <c r="G255" s="30">
        <v>1</v>
      </c>
      <c r="H255" s="31">
        <v>5.5</v>
      </c>
      <c r="I255" s="40">
        <f t="shared" si="42"/>
        <v>5.5</v>
      </c>
      <c r="J255" s="31">
        <f>+IFERROR(VLOOKUP(C255,Data,2,FALSE),"Not in weight table")</f>
        <v>22.9</v>
      </c>
      <c r="K255" s="31">
        <f>+IFERROR(VLOOKUP(C255,Data,3,FALSE),"Not in weight table")</f>
        <v>0.668</v>
      </c>
      <c r="L255" s="44">
        <f t="shared" si="43"/>
        <v>0.12595</v>
      </c>
      <c r="M255" s="42">
        <f t="shared" si="44"/>
        <v>3.674</v>
      </c>
      <c r="N255" s="43" t="s">
        <v>158</v>
      </c>
      <c r="O255" s="43" t="s">
        <v>158</v>
      </c>
      <c r="P255" s="43" t="s">
        <v>158</v>
      </c>
    </row>
    <row r="256" s="11" customFormat="1" spans="1:16">
      <c r="A256" s="32" t="s">
        <v>250</v>
      </c>
      <c r="B256" s="28" t="s">
        <v>196</v>
      </c>
      <c r="C256" s="28" t="s">
        <v>189</v>
      </c>
      <c r="D256" s="33" t="str">
        <f>+IFERROR(VLOOKUP(C256,Data,4,FALSE),"Not in data")</f>
        <v>S</v>
      </c>
      <c r="E256" s="34" t="s">
        <v>149</v>
      </c>
      <c r="F256" s="30">
        <v>1</v>
      </c>
      <c r="G256" s="30">
        <v>1</v>
      </c>
      <c r="H256" s="31">
        <v>3.9</v>
      </c>
      <c r="I256" s="40">
        <f t="shared" si="42"/>
        <v>3.9</v>
      </c>
      <c r="J256" s="31">
        <f>+IFERROR(VLOOKUP(C256,Data,2,FALSE),"Not in weight table")</f>
        <v>22.9</v>
      </c>
      <c r="K256" s="31">
        <f>+IFERROR(VLOOKUP(C256,Data,3,FALSE),"Not in weight table")</f>
        <v>0.668</v>
      </c>
      <c r="L256" s="44">
        <f t="shared" si="43"/>
        <v>0.08931</v>
      </c>
      <c r="M256" s="42">
        <f t="shared" si="44"/>
        <v>2.6052</v>
      </c>
      <c r="N256" s="43" t="s">
        <v>158</v>
      </c>
      <c r="O256" s="43" t="s">
        <v>158</v>
      </c>
      <c r="P256" s="43" t="s">
        <v>158</v>
      </c>
    </row>
    <row r="257" s="11" customFormat="1" spans="1:16">
      <c r="A257" s="32" t="s">
        <v>250</v>
      </c>
      <c r="B257" s="28" t="s">
        <v>196</v>
      </c>
      <c r="C257" s="28" t="s">
        <v>189</v>
      </c>
      <c r="D257" s="33" t="str">
        <f>+IFERROR(VLOOKUP(C257,Data,4,FALSE),"Not in data")</f>
        <v>S</v>
      </c>
      <c r="E257" s="34" t="s">
        <v>149</v>
      </c>
      <c r="F257" s="30">
        <v>1</v>
      </c>
      <c r="G257" s="30">
        <v>1</v>
      </c>
      <c r="H257" s="31">
        <v>5.3</v>
      </c>
      <c r="I257" s="40">
        <f t="shared" si="42"/>
        <v>5.3</v>
      </c>
      <c r="J257" s="31">
        <f>+IFERROR(VLOOKUP(C257,Data,2,FALSE),"Not in weight table")</f>
        <v>22.9</v>
      </c>
      <c r="K257" s="31">
        <f>+IFERROR(VLOOKUP(C257,Data,3,FALSE),"Not in weight table")</f>
        <v>0.668</v>
      </c>
      <c r="L257" s="44">
        <f t="shared" si="43"/>
        <v>0.12137</v>
      </c>
      <c r="M257" s="42">
        <f t="shared" si="44"/>
        <v>3.5404</v>
      </c>
      <c r="N257" s="43" t="s">
        <v>158</v>
      </c>
      <c r="O257" s="43" t="s">
        <v>158</v>
      </c>
      <c r="P257" s="43" t="s">
        <v>158</v>
      </c>
    </row>
    <row r="258" s="11" customFormat="1" spans="1:16">
      <c r="A258" s="32" t="s">
        <v>232</v>
      </c>
      <c r="B258" s="28" t="s">
        <v>187</v>
      </c>
      <c r="C258" s="28" t="s">
        <v>185</v>
      </c>
      <c r="D258" s="33" t="str">
        <f>+IFERROR(VLOOKUP(C258,Data,4,FALSE),"Not in data")</f>
        <v>Not in data</v>
      </c>
      <c r="E258" s="34" t="s">
        <v>149</v>
      </c>
      <c r="F258" s="30">
        <v>1</v>
      </c>
      <c r="G258" s="30">
        <v>20</v>
      </c>
      <c r="H258" s="31">
        <v>4.6</v>
      </c>
      <c r="I258" s="40">
        <f t="shared" si="42"/>
        <v>92</v>
      </c>
      <c r="J258" s="31" t="str">
        <f>+IFERROR(VLOOKUP(C258,Data,2,FALSE),"Not in weight table")</f>
        <v>Not in weight table</v>
      </c>
      <c r="K258" s="31" t="str">
        <f>+IFERROR(VLOOKUP(C258,Data,3,FALSE),"Not in weight table")</f>
        <v>Not in weight table</v>
      </c>
      <c r="L258" s="44">
        <f t="shared" si="43"/>
        <v>0</v>
      </c>
      <c r="M258" s="42">
        <f t="shared" si="44"/>
        <v>0</v>
      </c>
      <c r="N258" s="43" t="s">
        <v>158</v>
      </c>
      <c r="O258" s="43" t="s">
        <v>158</v>
      </c>
      <c r="P258" s="43" t="s">
        <v>158</v>
      </c>
    </row>
    <row r="259" s="11" customFormat="1" spans="1:16">
      <c r="A259" s="32" t="s">
        <v>232</v>
      </c>
      <c r="B259" s="28" t="s">
        <v>187</v>
      </c>
      <c r="C259" s="28" t="s">
        <v>185</v>
      </c>
      <c r="D259" s="33" t="str">
        <f>+IFERROR(VLOOKUP(C259,Data,4,FALSE),"Not in data")</f>
        <v>Not in data</v>
      </c>
      <c r="E259" s="34" t="s">
        <v>149</v>
      </c>
      <c r="F259" s="30">
        <v>1</v>
      </c>
      <c r="G259" s="30">
        <v>12</v>
      </c>
      <c r="H259" s="31">
        <v>3.25</v>
      </c>
      <c r="I259" s="40">
        <f t="shared" si="42"/>
        <v>39</v>
      </c>
      <c r="J259" s="31" t="str">
        <f>+IFERROR(VLOOKUP(C259,Data,2,FALSE),"Not in weight table")</f>
        <v>Not in weight table</v>
      </c>
      <c r="K259" s="31" t="str">
        <f>+IFERROR(VLOOKUP(C259,Data,3,FALSE),"Not in weight table")</f>
        <v>Not in weight table</v>
      </c>
      <c r="L259" s="44">
        <f t="shared" si="43"/>
        <v>0</v>
      </c>
      <c r="M259" s="42">
        <f t="shared" si="44"/>
        <v>0</v>
      </c>
      <c r="N259" s="43" t="s">
        <v>158</v>
      </c>
      <c r="O259" s="43" t="s">
        <v>158</v>
      </c>
      <c r="P259" s="43" t="s">
        <v>158</v>
      </c>
    </row>
    <row r="260" s="11" customFormat="1" spans="1:16">
      <c r="A260" s="32" t="s">
        <v>232</v>
      </c>
      <c r="B260" s="28" t="s">
        <v>187</v>
      </c>
      <c r="C260" s="28" t="s">
        <v>185</v>
      </c>
      <c r="D260" s="33" t="str">
        <f>+IFERROR(VLOOKUP(C260,Data,4,FALSE),"Not in data")</f>
        <v>Not in data</v>
      </c>
      <c r="E260" s="34" t="s">
        <v>149</v>
      </c>
      <c r="F260" s="30">
        <v>1</v>
      </c>
      <c r="G260" s="30">
        <v>18</v>
      </c>
      <c r="H260" s="31">
        <v>4.6</v>
      </c>
      <c r="I260" s="40">
        <f t="shared" si="42"/>
        <v>82.8</v>
      </c>
      <c r="J260" s="31" t="str">
        <f>+IFERROR(VLOOKUP(C260,Data,2,FALSE),"Not in weight table")</f>
        <v>Not in weight table</v>
      </c>
      <c r="K260" s="31" t="str">
        <f>+IFERROR(VLOOKUP(C260,Data,3,FALSE),"Not in weight table")</f>
        <v>Not in weight table</v>
      </c>
      <c r="L260" s="44">
        <f t="shared" si="43"/>
        <v>0</v>
      </c>
      <c r="M260" s="42">
        <f t="shared" si="44"/>
        <v>0</v>
      </c>
      <c r="N260" s="43" t="s">
        <v>158</v>
      </c>
      <c r="O260" s="43" t="s">
        <v>158</v>
      </c>
      <c r="P260" s="43" t="s">
        <v>158</v>
      </c>
    </row>
    <row r="261" s="11" customFormat="1" spans="1:16">
      <c r="A261" s="32" t="s">
        <v>232</v>
      </c>
      <c r="B261" s="28" t="s">
        <v>187</v>
      </c>
      <c r="C261" s="28" t="s">
        <v>185</v>
      </c>
      <c r="D261" s="33" t="str">
        <f>+IFERROR(VLOOKUP(C261,Data,4,FALSE),"Not in data")</f>
        <v>Not in data</v>
      </c>
      <c r="E261" s="34" t="s">
        <v>149</v>
      </c>
      <c r="F261" s="30">
        <v>1</v>
      </c>
      <c r="G261" s="30">
        <v>18</v>
      </c>
      <c r="H261" s="31">
        <v>3.25</v>
      </c>
      <c r="I261" s="40">
        <f t="shared" si="42"/>
        <v>58.5</v>
      </c>
      <c r="J261" s="31" t="str">
        <f>+IFERROR(VLOOKUP(C261,Data,2,FALSE),"Not in weight table")</f>
        <v>Not in weight table</v>
      </c>
      <c r="K261" s="31" t="str">
        <f>+IFERROR(VLOOKUP(C261,Data,3,FALSE),"Not in weight table")</f>
        <v>Not in weight table</v>
      </c>
      <c r="L261" s="44">
        <f t="shared" si="43"/>
        <v>0</v>
      </c>
      <c r="M261" s="42">
        <f t="shared" si="44"/>
        <v>0</v>
      </c>
      <c r="N261" s="43" t="s">
        <v>158</v>
      </c>
      <c r="O261" s="43" t="s">
        <v>158</v>
      </c>
      <c r="P261" s="43" t="s">
        <v>158</v>
      </c>
    </row>
    <row r="262" s="11" customFormat="1" spans="1:16">
      <c r="A262" s="32" t="s">
        <v>232</v>
      </c>
      <c r="B262" s="28" t="s">
        <v>191</v>
      </c>
      <c r="C262" s="28" t="s">
        <v>192</v>
      </c>
      <c r="D262" s="33" t="str">
        <f>+IFERROR(VLOOKUP(C262,Data,4,FALSE),"Not in data")</f>
        <v>T</v>
      </c>
      <c r="E262" s="34" t="s">
        <v>149</v>
      </c>
      <c r="F262" s="30">
        <v>1</v>
      </c>
      <c r="G262" s="30">
        <v>16</v>
      </c>
      <c r="H262" s="31">
        <v>2.1</v>
      </c>
      <c r="I262" s="40">
        <f>+IF(F262&lt;&gt;"",F262*G262*H262,0)</f>
        <v>33.6</v>
      </c>
      <c r="J262" s="31">
        <f>+IFERROR(VLOOKUP(C262,Data,2,FALSE),"Not in weight table")</f>
        <v>14.6</v>
      </c>
      <c r="K262" s="31">
        <f>+IFERROR(VLOOKUP(C262,Data,3,FALSE),"Not in weight table")</f>
        <v>0.33</v>
      </c>
      <c r="L262" s="44">
        <f>+IF(ISNUMBER(J262),I262*J262/1000,0)</f>
        <v>0.49056</v>
      </c>
      <c r="M262" s="42">
        <f>+IF(ISNUMBER(K262),I262*K262,0)</f>
        <v>11.088</v>
      </c>
      <c r="N262" s="43" t="s">
        <v>158</v>
      </c>
      <c r="O262" s="43" t="s">
        <v>158</v>
      </c>
      <c r="P262" s="43" t="s">
        <v>158</v>
      </c>
    </row>
    <row r="263" s="11" customFormat="1" spans="1:16">
      <c r="A263" s="32" t="s">
        <v>232</v>
      </c>
      <c r="B263" s="28" t="s">
        <v>191</v>
      </c>
      <c r="C263" s="28" t="s">
        <v>192</v>
      </c>
      <c r="D263" s="33" t="str">
        <f>+IFERROR(VLOOKUP(C263,Data,4,FALSE),"Not in data")</f>
        <v>T</v>
      </c>
      <c r="E263" s="34" t="s">
        <v>149</v>
      </c>
      <c r="F263" s="30">
        <v>1</v>
      </c>
      <c r="G263" s="30">
        <v>1</v>
      </c>
      <c r="H263" s="31">
        <v>1.5</v>
      </c>
      <c r="I263" s="40">
        <f>+IF(F263&lt;&gt;"",F263*G263*H263,0)</f>
        <v>1.5</v>
      </c>
      <c r="J263" s="31">
        <f>+IFERROR(VLOOKUP(C263,Data,2,FALSE),"Not in weight table")</f>
        <v>14.6</v>
      </c>
      <c r="K263" s="31">
        <f>+IFERROR(VLOOKUP(C263,Data,3,FALSE),"Not in weight table")</f>
        <v>0.33</v>
      </c>
      <c r="L263" s="44">
        <f>+IF(ISNUMBER(J263),I263*J263/1000,0)</f>
        <v>0.0219</v>
      </c>
      <c r="M263" s="42">
        <f>+IF(ISNUMBER(K263),I263*K263,0)</f>
        <v>0.495</v>
      </c>
      <c r="N263" s="43" t="s">
        <v>158</v>
      </c>
      <c r="O263" s="43" t="s">
        <v>158</v>
      </c>
      <c r="P263" s="43" t="s">
        <v>158</v>
      </c>
    </row>
    <row r="264" s="11" customFormat="1" spans="1:16">
      <c r="A264" s="32" t="s">
        <v>232</v>
      </c>
      <c r="B264" s="28" t="s">
        <v>191</v>
      </c>
      <c r="C264" s="28" t="s">
        <v>192</v>
      </c>
      <c r="D264" s="33" t="str">
        <f>+IFERROR(VLOOKUP(C264,Data,4,FALSE),"Not in data")</f>
        <v>T</v>
      </c>
      <c r="E264" s="34" t="s">
        <v>149</v>
      </c>
      <c r="F264" s="30">
        <v>1</v>
      </c>
      <c r="G264" s="30">
        <v>1</v>
      </c>
      <c r="H264" s="31">
        <v>6.5</v>
      </c>
      <c r="I264" s="40">
        <f>+IF(F264&lt;&gt;"",F264*G264*H264,0)</f>
        <v>6.5</v>
      </c>
      <c r="J264" s="31">
        <f>+IFERROR(VLOOKUP(C264,Data,2,FALSE),"Not in weight table")</f>
        <v>14.6</v>
      </c>
      <c r="K264" s="31">
        <f>+IFERROR(VLOOKUP(C264,Data,3,FALSE),"Not in weight table")</f>
        <v>0.33</v>
      </c>
      <c r="L264" s="44">
        <f>+IF(ISNUMBER(J264),I264*J264/1000,0)</f>
        <v>0.0949</v>
      </c>
      <c r="M264" s="42">
        <f>+IF(ISNUMBER(K264),I264*K264,0)</f>
        <v>2.145</v>
      </c>
      <c r="N264" s="43" t="s">
        <v>158</v>
      </c>
      <c r="O264" s="43" t="s">
        <v>158</v>
      </c>
      <c r="P264" s="43" t="s">
        <v>158</v>
      </c>
    </row>
    <row r="265" s="11" customFormat="1" spans="1:16">
      <c r="A265" s="32" t="s">
        <v>250</v>
      </c>
      <c r="B265" s="28" t="s">
        <v>251</v>
      </c>
      <c r="C265" s="28" t="s">
        <v>247</v>
      </c>
      <c r="D265" s="33" t="str">
        <f>+IFERROR(VLOOKUP(C265,Data,4,FALSE),"Not in data")</f>
        <v>Not in data</v>
      </c>
      <c r="E265" s="34" t="s">
        <v>149</v>
      </c>
      <c r="F265" s="30">
        <v>1</v>
      </c>
      <c r="G265" s="30">
        <v>1</v>
      </c>
      <c r="H265" s="31">
        <v>19</v>
      </c>
      <c r="I265" s="40">
        <f>+IF(F265&lt;&gt;"",F265*G265*H265,0)</f>
        <v>19</v>
      </c>
      <c r="J265" s="31" t="str">
        <f>+IFERROR(VLOOKUP(C265,Data,2,FALSE),"Not in weight table")</f>
        <v>Not in weight table</v>
      </c>
      <c r="K265" s="31" t="str">
        <f>+IFERROR(VLOOKUP(C265,Data,3,FALSE),"Not in weight table")</f>
        <v>Not in weight table</v>
      </c>
      <c r="L265" s="44">
        <f>+IF(ISNUMBER(J265),I265*J265/1000,0)</f>
        <v>0</v>
      </c>
      <c r="M265" s="42">
        <f>+IF(ISNUMBER(K265),I265*K265,0)</f>
        <v>0</v>
      </c>
      <c r="N265" s="43" t="s">
        <v>158</v>
      </c>
      <c r="O265" s="43" t="s">
        <v>158</v>
      </c>
      <c r="P265" s="43" t="s">
        <v>158</v>
      </c>
    </row>
    <row r="266" s="11" customFormat="1" spans="1:16">
      <c r="A266" s="32" t="s">
        <v>232</v>
      </c>
      <c r="B266" s="28" t="s">
        <v>205</v>
      </c>
      <c r="C266" s="28" t="s">
        <v>189</v>
      </c>
      <c r="D266" s="33" t="str">
        <f>+IFERROR(VLOOKUP(C266,Data,4,FALSE),"Not in data")</f>
        <v>S</v>
      </c>
      <c r="E266" s="34" t="s">
        <v>149</v>
      </c>
      <c r="F266" s="30">
        <v>1</v>
      </c>
      <c r="G266" s="30">
        <v>1</v>
      </c>
      <c r="H266" s="31">
        <v>4.6</v>
      </c>
      <c r="I266" s="40">
        <f>+IF(F266&lt;&gt;"",F266*G266*H266,0)</f>
        <v>4.6</v>
      </c>
      <c r="J266" s="31">
        <f>+IFERROR(VLOOKUP(C266,Data,2,FALSE),"Not in weight table")</f>
        <v>22.9</v>
      </c>
      <c r="K266" s="31">
        <f>+IFERROR(VLOOKUP(C266,Data,3,FALSE),"Not in weight table")</f>
        <v>0.668</v>
      </c>
      <c r="L266" s="44">
        <f>+IF(ISNUMBER(J266),I266*J266/1000,0)</f>
        <v>0.10534</v>
      </c>
      <c r="M266" s="42">
        <f>+IF(ISNUMBER(K266),I266*K266,0)</f>
        <v>3.0728</v>
      </c>
      <c r="N266" s="43" t="s">
        <v>158</v>
      </c>
      <c r="O266" s="43" t="s">
        <v>158</v>
      </c>
      <c r="P266" s="43" t="s">
        <v>158</v>
      </c>
    </row>
    <row r="267" s="11" customFormat="1" spans="1:16">
      <c r="A267" s="32" t="s">
        <v>250</v>
      </c>
      <c r="B267" s="28" t="s">
        <v>206</v>
      </c>
      <c r="C267" s="28" t="s">
        <v>207</v>
      </c>
      <c r="D267" s="33" t="str">
        <f>+IFERROR(VLOOKUP(C267,Data,4,FALSE),"Not in data")</f>
        <v>S</v>
      </c>
      <c r="E267" s="34" t="s">
        <v>149</v>
      </c>
      <c r="F267" s="30">
        <v>1</v>
      </c>
      <c r="G267" s="30">
        <v>1</v>
      </c>
      <c r="H267" s="31">
        <v>9.5</v>
      </c>
      <c r="I267" s="40">
        <f>+IF(F267&lt;&gt;"",F267*G267*H267,0)</f>
        <v>9.5</v>
      </c>
      <c r="J267" s="31">
        <f>+IFERROR(VLOOKUP(C267,Data,2,FALSE),"Not in weight table")</f>
        <v>4.56</v>
      </c>
      <c r="K267" s="31">
        <f>+IFERROR(VLOOKUP(C267,Data,3,FALSE),"Not in weight table")</f>
        <v>0.255</v>
      </c>
      <c r="L267" s="44">
        <f>+IF(ISNUMBER(J267),I267*J267/1000,0)</f>
        <v>0.04332</v>
      </c>
      <c r="M267" s="42">
        <f>+IF(ISNUMBER(K267),I267*K267,0)</f>
        <v>2.4225</v>
      </c>
      <c r="N267" s="43" t="s">
        <v>158</v>
      </c>
      <c r="O267" s="43" t="s">
        <v>158</v>
      </c>
      <c r="P267" s="43" t="s">
        <v>158</v>
      </c>
    </row>
    <row r="268" s="11" customFormat="1" spans="1:16">
      <c r="A268" s="32" t="s">
        <v>250</v>
      </c>
      <c r="B268" s="28" t="s">
        <v>206</v>
      </c>
      <c r="C268" s="28" t="s">
        <v>207</v>
      </c>
      <c r="D268" s="33" t="str">
        <f>+IFERROR(VLOOKUP(C268,Data,4,FALSE),"Not in data")</f>
        <v>S</v>
      </c>
      <c r="E268" s="34" t="s">
        <v>149</v>
      </c>
      <c r="F268" s="30">
        <v>1</v>
      </c>
      <c r="G268" s="30">
        <v>1</v>
      </c>
      <c r="H268" s="31">
        <v>9.6</v>
      </c>
      <c r="I268" s="40">
        <f>+IF(F268&lt;&gt;"",F268*G268*H268,0)</f>
        <v>9.6</v>
      </c>
      <c r="J268" s="31">
        <f>+IFERROR(VLOOKUP(C268,Data,2,FALSE),"Not in weight table")</f>
        <v>4.56</v>
      </c>
      <c r="K268" s="31">
        <f>+IFERROR(VLOOKUP(C268,Data,3,FALSE),"Not in weight table")</f>
        <v>0.255</v>
      </c>
      <c r="L268" s="44">
        <f>+IF(ISNUMBER(J268),I268*J268/1000,0)</f>
        <v>0.043776</v>
      </c>
      <c r="M268" s="42">
        <f>+IF(ISNUMBER(K268),I268*K268,0)</f>
        <v>2.448</v>
      </c>
      <c r="N268" s="43" t="s">
        <v>158</v>
      </c>
      <c r="O268" s="43" t="s">
        <v>158</v>
      </c>
      <c r="P268" s="43" t="s">
        <v>158</v>
      </c>
    </row>
    <row r="269" s="11" customFormat="1" spans="1:16">
      <c r="A269" s="32" t="s">
        <v>250</v>
      </c>
      <c r="B269" s="28" t="s">
        <v>206</v>
      </c>
      <c r="C269" s="28" t="s">
        <v>207</v>
      </c>
      <c r="D269" s="33" t="str">
        <f>+IFERROR(VLOOKUP(C269,Data,4,FALSE),"Not in data")</f>
        <v>S</v>
      </c>
      <c r="E269" s="34" t="s">
        <v>149</v>
      </c>
      <c r="F269" s="30">
        <v>1</v>
      </c>
      <c r="G269" s="30">
        <v>1</v>
      </c>
      <c r="H269" s="31">
        <v>8.1</v>
      </c>
      <c r="I269" s="40">
        <f>+IF(F269&lt;&gt;"",F269*G269*H269,0)</f>
        <v>8.1</v>
      </c>
      <c r="J269" s="31">
        <f>+IFERROR(VLOOKUP(C269,Data,2,FALSE),"Not in weight table")</f>
        <v>4.56</v>
      </c>
      <c r="K269" s="31">
        <f>+IFERROR(VLOOKUP(C269,Data,3,FALSE),"Not in weight table")</f>
        <v>0.255</v>
      </c>
      <c r="L269" s="44">
        <f>+IF(ISNUMBER(J269),I269*J269/1000,0)</f>
        <v>0.036936</v>
      </c>
      <c r="M269" s="42">
        <f>+IF(ISNUMBER(K269),I269*K269,0)</f>
        <v>2.0655</v>
      </c>
      <c r="N269" s="43" t="s">
        <v>158</v>
      </c>
      <c r="O269" s="43" t="s">
        <v>158</v>
      </c>
      <c r="P269" s="43" t="s">
        <v>158</v>
      </c>
    </row>
    <row r="270" s="11" customFormat="1" spans="1:16">
      <c r="A270" s="32" t="s">
        <v>250</v>
      </c>
      <c r="B270" s="28" t="s">
        <v>206</v>
      </c>
      <c r="C270" s="28" t="s">
        <v>207</v>
      </c>
      <c r="D270" s="33" t="str">
        <f>+IFERROR(VLOOKUP(C270,Data,4,FALSE),"Not in data")</f>
        <v>S</v>
      </c>
      <c r="E270" s="34" t="s">
        <v>149</v>
      </c>
      <c r="F270" s="30">
        <v>1</v>
      </c>
      <c r="G270" s="30">
        <v>1</v>
      </c>
      <c r="H270" s="31">
        <v>7.9</v>
      </c>
      <c r="I270" s="40">
        <f>+IF(F270&lt;&gt;"",F270*G270*H270,0)</f>
        <v>7.9</v>
      </c>
      <c r="J270" s="31">
        <f>+IFERROR(VLOOKUP(C270,Data,2,FALSE),"Not in weight table")</f>
        <v>4.56</v>
      </c>
      <c r="K270" s="31">
        <f>+IFERROR(VLOOKUP(C270,Data,3,FALSE),"Not in weight table")</f>
        <v>0.255</v>
      </c>
      <c r="L270" s="44">
        <f>+IF(ISNUMBER(J270),I270*J270/1000,0)</f>
        <v>0.036024</v>
      </c>
      <c r="M270" s="42">
        <f>+IF(ISNUMBER(K270),I270*K270,0)</f>
        <v>2.0145</v>
      </c>
      <c r="N270" s="43" t="s">
        <v>158</v>
      </c>
      <c r="O270" s="43" t="s">
        <v>158</v>
      </c>
      <c r="P270" s="43" t="s">
        <v>158</v>
      </c>
    </row>
    <row r="271" s="11" customFormat="1" spans="1:16">
      <c r="A271" s="32" t="s">
        <v>250</v>
      </c>
      <c r="B271" s="28" t="s">
        <v>206</v>
      </c>
      <c r="C271" s="28" t="s">
        <v>207</v>
      </c>
      <c r="D271" s="33" t="str">
        <f>+IFERROR(VLOOKUP(C271,Data,4,FALSE),"Not in data")</f>
        <v>S</v>
      </c>
      <c r="E271" s="34" t="s">
        <v>149</v>
      </c>
      <c r="F271" s="30">
        <v>1</v>
      </c>
      <c r="G271" s="30">
        <v>1</v>
      </c>
      <c r="H271" s="31">
        <v>9.4</v>
      </c>
      <c r="I271" s="40">
        <f>+IF(F271&lt;&gt;"",F271*G271*H271,0)</f>
        <v>9.4</v>
      </c>
      <c r="J271" s="31">
        <f>+IFERROR(VLOOKUP(C271,Data,2,FALSE),"Not in weight table")</f>
        <v>4.56</v>
      </c>
      <c r="K271" s="31">
        <f>+IFERROR(VLOOKUP(C271,Data,3,FALSE),"Not in weight table")</f>
        <v>0.255</v>
      </c>
      <c r="L271" s="44">
        <f>+IF(ISNUMBER(J271),I271*J271/1000,0)</f>
        <v>0.042864</v>
      </c>
      <c r="M271" s="42">
        <f>+IF(ISNUMBER(K271),I271*K271,0)</f>
        <v>2.397</v>
      </c>
      <c r="N271" s="43" t="s">
        <v>158</v>
      </c>
      <c r="O271" s="43" t="s">
        <v>158</v>
      </c>
      <c r="P271" s="43" t="s">
        <v>158</v>
      </c>
    </row>
    <row r="272" s="11" customFormat="1" spans="1:16">
      <c r="A272" s="32" t="s">
        <v>250</v>
      </c>
      <c r="B272" s="28" t="s">
        <v>206</v>
      </c>
      <c r="C272" s="28" t="s">
        <v>207</v>
      </c>
      <c r="D272" s="33" t="str">
        <f>+IFERROR(VLOOKUP(C272,Data,4,FALSE),"Not in data")</f>
        <v>S</v>
      </c>
      <c r="E272" s="34" t="s">
        <v>149</v>
      </c>
      <c r="F272" s="30">
        <v>1</v>
      </c>
      <c r="G272" s="30">
        <v>1</v>
      </c>
      <c r="H272" s="31">
        <v>9.6</v>
      </c>
      <c r="I272" s="40">
        <f>+IF(F272&lt;&gt;"",F272*G272*H272,0)</f>
        <v>9.6</v>
      </c>
      <c r="J272" s="31">
        <f>+IFERROR(VLOOKUP(C272,Data,2,FALSE),"Not in weight table")</f>
        <v>4.56</v>
      </c>
      <c r="K272" s="31">
        <f>+IFERROR(VLOOKUP(C272,Data,3,FALSE),"Not in weight table")</f>
        <v>0.255</v>
      </c>
      <c r="L272" s="44">
        <f>+IF(ISNUMBER(J272),I272*J272/1000,0)</f>
        <v>0.043776</v>
      </c>
      <c r="M272" s="42">
        <f>+IF(ISNUMBER(K272),I272*K272,0)</f>
        <v>2.448</v>
      </c>
      <c r="N272" s="43" t="s">
        <v>158</v>
      </c>
      <c r="O272" s="43" t="s">
        <v>158</v>
      </c>
      <c r="P272" s="43" t="s">
        <v>158</v>
      </c>
    </row>
    <row r="273" s="11" customFormat="1" spans="1:16">
      <c r="A273" s="32" t="s">
        <v>250</v>
      </c>
      <c r="B273" s="28" t="s">
        <v>254</v>
      </c>
      <c r="C273" s="28" t="s">
        <v>247</v>
      </c>
      <c r="D273" s="33" t="str">
        <f>+IFERROR(VLOOKUP(C273,Data,4,FALSE),"Not in data")</f>
        <v>Not in data</v>
      </c>
      <c r="E273" s="34" t="s">
        <v>149</v>
      </c>
      <c r="F273" s="30">
        <v>1</v>
      </c>
      <c r="G273" s="30">
        <v>2</v>
      </c>
      <c r="H273" s="31">
        <v>7.5</v>
      </c>
      <c r="I273" s="40">
        <f>+IF(F273&lt;&gt;"",F273*G273*H273,0)</f>
        <v>15</v>
      </c>
      <c r="J273" s="31" t="str">
        <f>+IFERROR(VLOOKUP(C273,Data,2,FALSE),"Not in weight table")</f>
        <v>Not in weight table</v>
      </c>
      <c r="K273" s="31" t="str">
        <f>+IFERROR(VLOOKUP(C273,Data,3,FALSE),"Not in weight table")</f>
        <v>Not in weight table</v>
      </c>
      <c r="L273" s="44">
        <f>+IF(ISNUMBER(J273),I273*J273/1000,0)</f>
        <v>0</v>
      </c>
      <c r="M273" s="42">
        <f>+IF(ISNUMBER(K273),I273*K273,0)</f>
        <v>0</v>
      </c>
      <c r="N273" s="43" t="s">
        <v>158</v>
      </c>
      <c r="O273" s="43" t="s">
        <v>158</v>
      </c>
      <c r="P273" s="43" t="s">
        <v>158</v>
      </c>
    </row>
    <row r="274" s="11" customFormat="1" spans="1:16">
      <c r="A274" s="32" t="s">
        <v>250</v>
      </c>
      <c r="B274" s="28" t="s">
        <v>208</v>
      </c>
      <c r="C274" s="28" t="s">
        <v>235</v>
      </c>
      <c r="D274" s="33" t="str">
        <f>+IFERROR(VLOOKUP(C274,Data,4,FALSE),"Not in data")</f>
        <v>S</v>
      </c>
      <c r="E274" s="34" t="s">
        <v>149</v>
      </c>
      <c r="F274" s="30">
        <v>1</v>
      </c>
      <c r="G274" s="30">
        <v>1</v>
      </c>
      <c r="H274" s="31">
        <v>16.8</v>
      </c>
      <c r="I274" s="40">
        <f>+IF(F274&lt;&gt;"",F274*G274*H274,0)</f>
        <v>16.8</v>
      </c>
      <c r="J274" s="31">
        <f>+IFERROR(VLOOKUP(C274,Data,2,FALSE),"Not in weight table")</f>
        <v>25.7</v>
      </c>
      <c r="K274" s="31">
        <f>+IFERROR(VLOOKUP(C274,Data,3,FALSE),"Not in weight table")</f>
        <v>0.961</v>
      </c>
      <c r="L274" s="44">
        <f>+IF(ISNUMBER(J274),I274*J274/1000,0)</f>
        <v>0.43176</v>
      </c>
      <c r="M274" s="42">
        <f>+IF(ISNUMBER(K274),I274*K274,0)</f>
        <v>16.1448</v>
      </c>
      <c r="N274" s="43" t="s">
        <v>158</v>
      </c>
      <c r="O274" s="43" t="s">
        <v>158</v>
      </c>
      <c r="P274" s="43" t="s">
        <v>158</v>
      </c>
    </row>
    <row r="275" s="11" customFormat="1" spans="1:16">
      <c r="A275" s="32" t="s">
        <v>250</v>
      </c>
      <c r="B275" s="28" t="s">
        <v>206</v>
      </c>
      <c r="C275" s="28" t="s">
        <v>207</v>
      </c>
      <c r="D275" s="33" t="str">
        <f>+IFERROR(VLOOKUP(C275,Data,4,FALSE),"Not in data")</f>
        <v>S</v>
      </c>
      <c r="E275" s="34" t="s">
        <v>149</v>
      </c>
      <c r="F275" s="30">
        <v>1</v>
      </c>
      <c r="G275" s="30">
        <v>1</v>
      </c>
      <c r="H275" s="31">
        <v>7</v>
      </c>
      <c r="I275" s="40">
        <f>+IF(F275&lt;&gt;"",F275*G275*H275,0)</f>
        <v>7</v>
      </c>
      <c r="J275" s="31">
        <f>+IFERROR(VLOOKUP(C275,Data,2,FALSE),"Not in weight table")</f>
        <v>4.56</v>
      </c>
      <c r="K275" s="31">
        <f>+IFERROR(VLOOKUP(C275,Data,3,FALSE),"Not in weight table")</f>
        <v>0.255</v>
      </c>
      <c r="L275" s="44">
        <f>+IF(ISNUMBER(J275),I275*J275/1000,0)</f>
        <v>0.03192</v>
      </c>
      <c r="M275" s="42">
        <f>+IF(ISNUMBER(K275),I275*K275,0)</f>
        <v>1.785</v>
      </c>
      <c r="N275" s="43" t="s">
        <v>158</v>
      </c>
      <c r="O275" s="43" t="s">
        <v>158</v>
      </c>
      <c r="P275" s="43" t="s">
        <v>158</v>
      </c>
    </row>
    <row r="276" s="11" customFormat="1" spans="1:16">
      <c r="A276" s="32" t="s">
        <v>250</v>
      </c>
      <c r="B276" s="28" t="s">
        <v>206</v>
      </c>
      <c r="C276" s="28" t="s">
        <v>207</v>
      </c>
      <c r="D276" s="33" t="str">
        <f>+IFERROR(VLOOKUP(C276,Data,4,FALSE),"Not in data")</f>
        <v>S</v>
      </c>
      <c r="E276" s="34" t="s">
        <v>149</v>
      </c>
      <c r="F276" s="30">
        <v>1</v>
      </c>
      <c r="G276" s="30">
        <v>1</v>
      </c>
      <c r="H276" s="31">
        <v>7.2</v>
      </c>
      <c r="I276" s="40">
        <f>+IF(F276&lt;&gt;"",F276*G276*H276,0)</f>
        <v>7.2</v>
      </c>
      <c r="J276" s="31">
        <f>+IFERROR(VLOOKUP(C276,Data,2,FALSE),"Not in weight table")</f>
        <v>4.56</v>
      </c>
      <c r="K276" s="31">
        <f>+IFERROR(VLOOKUP(C276,Data,3,FALSE),"Not in weight table")</f>
        <v>0.255</v>
      </c>
      <c r="L276" s="44">
        <f>+IF(ISNUMBER(J276),I276*J276/1000,0)</f>
        <v>0.032832</v>
      </c>
      <c r="M276" s="42">
        <f>+IF(ISNUMBER(K276),I276*K276,0)</f>
        <v>1.836</v>
      </c>
      <c r="N276" s="43" t="s">
        <v>158</v>
      </c>
      <c r="O276" s="43" t="s">
        <v>158</v>
      </c>
      <c r="P276" s="43" t="s">
        <v>158</v>
      </c>
    </row>
    <row r="277" s="11" customFormat="1" spans="1:16">
      <c r="A277" s="32" t="s">
        <v>250</v>
      </c>
      <c r="B277" s="28" t="s">
        <v>199</v>
      </c>
      <c r="C277" s="28" t="s">
        <v>200</v>
      </c>
      <c r="D277" s="33" t="str">
        <f>+IFERROR(VLOOKUP(C277,Data,4,FALSE),"Not in data")</f>
        <v>Not in data</v>
      </c>
      <c r="E277" s="34" t="s">
        <v>149</v>
      </c>
      <c r="F277" s="30">
        <v>1</v>
      </c>
      <c r="G277" s="30">
        <v>2</v>
      </c>
      <c r="H277" s="31">
        <v>3.9</v>
      </c>
      <c r="I277" s="40">
        <f>+IF(F277&lt;&gt;"",F277*G277*H277,0)</f>
        <v>7.8</v>
      </c>
      <c r="J277" s="31" t="str">
        <f>+IFERROR(VLOOKUP(C277,Data,2,FALSE),"Not in weight table")</f>
        <v>Not in weight table</v>
      </c>
      <c r="K277" s="31" t="str">
        <f>+IFERROR(VLOOKUP(C277,Data,3,FALSE),"Not in weight table")</f>
        <v>Not in weight table</v>
      </c>
      <c r="L277" s="44">
        <f>+IF(ISNUMBER(J277),I277*J277/1000,0)</f>
        <v>0</v>
      </c>
      <c r="M277" s="42">
        <f>+IF(ISNUMBER(K277),I277*K277,0)</f>
        <v>0</v>
      </c>
      <c r="N277" s="43" t="s">
        <v>158</v>
      </c>
      <c r="O277" s="43" t="s">
        <v>158</v>
      </c>
      <c r="P277" s="43" t="s">
        <v>158</v>
      </c>
    </row>
    <row r="278" s="11" customFormat="1" spans="1:16">
      <c r="A278" s="32" t="s">
        <v>232</v>
      </c>
      <c r="B278" s="28" t="s">
        <v>193</v>
      </c>
      <c r="C278" s="28" t="s">
        <v>194</v>
      </c>
      <c r="D278" s="33" t="str">
        <f>+IFERROR(VLOOKUP(C278,Data,4,FALSE),"Not in data")</f>
        <v>T</v>
      </c>
      <c r="E278" s="34" t="s">
        <v>149</v>
      </c>
      <c r="F278" s="30">
        <v>1</v>
      </c>
      <c r="G278" s="30">
        <v>1</v>
      </c>
      <c r="H278" s="31">
        <v>7.52</v>
      </c>
      <c r="I278" s="40">
        <f>+IF(F278&lt;&gt;"",F278*G278*H278,0)</f>
        <v>7.52</v>
      </c>
      <c r="J278" s="31">
        <f>+IFERROR(VLOOKUP(C278,Data,2,FALSE),"Not in weight table")</f>
        <v>17.9</v>
      </c>
      <c r="K278" s="31">
        <f>+IFERROR(VLOOKUP(C278,Data,3,FALSE),"Not in weight table")</f>
        <v>0.583</v>
      </c>
      <c r="L278" s="44">
        <f>+IF(ISNUMBER(J278),I278*J278/1000,0)</f>
        <v>0.134608</v>
      </c>
      <c r="M278" s="42">
        <f>+IF(ISNUMBER(K278),I278*K278,0)</f>
        <v>4.38416</v>
      </c>
      <c r="N278" s="43" t="s">
        <v>158</v>
      </c>
      <c r="O278" s="43" t="s">
        <v>158</v>
      </c>
      <c r="P278" s="43" t="s">
        <v>158</v>
      </c>
    </row>
    <row r="279" s="11" customFormat="1" spans="1:16">
      <c r="A279" s="32" t="s">
        <v>232</v>
      </c>
      <c r="B279" s="28" t="s">
        <v>193</v>
      </c>
      <c r="C279" s="28" t="s">
        <v>194</v>
      </c>
      <c r="D279" s="33" t="str">
        <f>+IFERROR(VLOOKUP(C279,Data,4,FALSE),"Not in data")</f>
        <v>T</v>
      </c>
      <c r="E279" s="34" t="s">
        <v>149</v>
      </c>
      <c r="F279" s="30">
        <v>1</v>
      </c>
      <c r="G279" s="30">
        <v>1</v>
      </c>
      <c r="H279" s="31">
        <v>15.02</v>
      </c>
      <c r="I279" s="40">
        <f>+IF(F279&lt;&gt;"",F279*G279*H279,0)</f>
        <v>15.02</v>
      </c>
      <c r="J279" s="31">
        <f>+IFERROR(VLOOKUP(C279,Data,2,FALSE),"Not in weight table")</f>
        <v>17.9</v>
      </c>
      <c r="K279" s="31">
        <f>+IFERROR(VLOOKUP(C279,Data,3,FALSE),"Not in weight table")</f>
        <v>0.583</v>
      </c>
      <c r="L279" s="44">
        <f>+IF(ISNUMBER(J279),I279*J279/1000,0)</f>
        <v>0.268858</v>
      </c>
      <c r="M279" s="42">
        <f>+IF(ISNUMBER(K279),I279*K279,0)</f>
        <v>8.75666</v>
      </c>
      <c r="N279" s="43" t="s">
        <v>158</v>
      </c>
      <c r="O279" s="43" t="s">
        <v>158</v>
      </c>
      <c r="P279" s="43" t="s">
        <v>158</v>
      </c>
    </row>
    <row r="280" s="11" customFormat="1" spans="1:16">
      <c r="A280" s="32" t="s">
        <v>232</v>
      </c>
      <c r="B280" s="28" t="s">
        <v>193</v>
      </c>
      <c r="C280" s="28" t="s">
        <v>194</v>
      </c>
      <c r="D280" s="33" t="str">
        <f>+IFERROR(VLOOKUP(C280,Data,4,FALSE),"Not in data")</f>
        <v>T</v>
      </c>
      <c r="E280" s="34" t="s">
        <v>149</v>
      </c>
      <c r="F280" s="30">
        <v>1</v>
      </c>
      <c r="G280" s="30">
        <v>1</v>
      </c>
      <c r="H280" s="31">
        <v>9.55</v>
      </c>
      <c r="I280" s="40">
        <f>+IF(F280&lt;&gt;"",F280*G280*H280,0)</f>
        <v>9.55</v>
      </c>
      <c r="J280" s="31">
        <f>+IFERROR(VLOOKUP(C280,Data,2,FALSE),"Not in weight table")</f>
        <v>17.9</v>
      </c>
      <c r="K280" s="31">
        <f>+IFERROR(VLOOKUP(C280,Data,3,FALSE),"Not in weight table")</f>
        <v>0.583</v>
      </c>
      <c r="L280" s="44">
        <f>+IF(ISNUMBER(J280),I280*J280/1000,0)</f>
        <v>0.170945</v>
      </c>
      <c r="M280" s="42">
        <f>+IF(ISNUMBER(K280),I280*K280,0)</f>
        <v>5.56765</v>
      </c>
      <c r="N280" s="43" t="s">
        <v>158</v>
      </c>
      <c r="O280" s="43" t="s">
        <v>158</v>
      </c>
      <c r="P280" s="43" t="s">
        <v>158</v>
      </c>
    </row>
    <row r="281" s="11" customFormat="1" spans="1:16">
      <c r="A281" s="32" t="s">
        <v>232</v>
      </c>
      <c r="B281" s="28" t="s">
        <v>193</v>
      </c>
      <c r="C281" s="28" t="s">
        <v>194</v>
      </c>
      <c r="D281" s="33" t="str">
        <f>+IFERROR(VLOOKUP(C281,Data,4,FALSE),"Not in data")</f>
        <v>T</v>
      </c>
      <c r="E281" s="34" t="s">
        <v>149</v>
      </c>
      <c r="F281" s="30">
        <v>1</v>
      </c>
      <c r="G281" s="30">
        <v>1</v>
      </c>
      <c r="H281" s="31">
        <v>15.24</v>
      </c>
      <c r="I281" s="40">
        <f>+IF(F281&lt;&gt;"",F281*G281*H281,0)</f>
        <v>15.24</v>
      </c>
      <c r="J281" s="31">
        <f>+IFERROR(VLOOKUP(C281,Data,2,FALSE),"Not in weight table")</f>
        <v>17.9</v>
      </c>
      <c r="K281" s="31">
        <f>+IFERROR(VLOOKUP(C281,Data,3,FALSE),"Not in weight table")</f>
        <v>0.583</v>
      </c>
      <c r="L281" s="44">
        <f>+IF(ISNUMBER(J281),I281*J281/1000,0)</f>
        <v>0.272796</v>
      </c>
      <c r="M281" s="42">
        <f>+IF(ISNUMBER(K281),I281*K281,0)</f>
        <v>8.88492</v>
      </c>
      <c r="N281" s="43" t="s">
        <v>158</v>
      </c>
      <c r="O281" s="43" t="s">
        <v>158</v>
      </c>
      <c r="P281" s="43" t="s">
        <v>158</v>
      </c>
    </row>
    <row r="282" s="11" customFormat="1" spans="1:16">
      <c r="A282" s="32" t="s">
        <v>232</v>
      </c>
      <c r="B282" s="28" t="s">
        <v>193</v>
      </c>
      <c r="C282" s="28" t="s">
        <v>194</v>
      </c>
      <c r="D282" s="33" t="str">
        <f>+IFERROR(VLOOKUP(C282,Data,4,FALSE),"Not in data")</f>
        <v>T</v>
      </c>
      <c r="E282" s="34" t="s">
        <v>149</v>
      </c>
      <c r="F282" s="30">
        <v>1</v>
      </c>
      <c r="G282" s="30">
        <v>1</v>
      </c>
      <c r="H282" s="31">
        <v>7.7</v>
      </c>
      <c r="I282" s="40">
        <f>+IF(F282&lt;&gt;"",F282*G282*H282,0)</f>
        <v>7.7</v>
      </c>
      <c r="J282" s="31">
        <f>+IFERROR(VLOOKUP(C282,Data,2,FALSE),"Not in weight table")</f>
        <v>17.9</v>
      </c>
      <c r="K282" s="31">
        <f>+IFERROR(VLOOKUP(C282,Data,3,FALSE),"Not in weight table")</f>
        <v>0.583</v>
      </c>
      <c r="L282" s="44">
        <f>+IF(ISNUMBER(J282),I282*J282/1000,0)</f>
        <v>0.13783</v>
      </c>
      <c r="M282" s="42">
        <f>+IF(ISNUMBER(K282),I282*K282,0)</f>
        <v>4.4891</v>
      </c>
      <c r="N282" s="43" t="s">
        <v>158</v>
      </c>
      <c r="O282" s="43" t="s">
        <v>158</v>
      </c>
      <c r="P282" s="43" t="s">
        <v>158</v>
      </c>
    </row>
    <row r="283" s="11" customFormat="1" spans="1:16">
      <c r="A283" s="32" t="s">
        <v>232</v>
      </c>
      <c r="B283" s="28" t="s">
        <v>195</v>
      </c>
      <c r="C283" s="28" t="s">
        <v>192</v>
      </c>
      <c r="D283" s="33" t="str">
        <f>+IFERROR(VLOOKUP(C283,Data,4,FALSE),"Not in data")</f>
        <v>T</v>
      </c>
      <c r="E283" s="34" t="s">
        <v>149</v>
      </c>
      <c r="F283" s="30">
        <v>1</v>
      </c>
      <c r="G283" s="30">
        <v>1</v>
      </c>
      <c r="H283" s="31">
        <v>3.9</v>
      </c>
      <c r="I283" s="40">
        <f>+IF(F283&lt;&gt;"",F283*G283*H283,0)</f>
        <v>3.9</v>
      </c>
      <c r="J283" s="31">
        <f>+IFERROR(VLOOKUP(C283,Data,2,FALSE),"Not in weight table")</f>
        <v>14.6</v>
      </c>
      <c r="K283" s="31">
        <f>+IFERROR(VLOOKUP(C283,Data,3,FALSE),"Not in weight table")</f>
        <v>0.33</v>
      </c>
      <c r="L283" s="44">
        <f>+IF(ISNUMBER(J283),I283*J283/1000,0)</f>
        <v>0.05694</v>
      </c>
      <c r="M283" s="42">
        <f>+IF(ISNUMBER(K283),I283*K283,0)</f>
        <v>1.287</v>
      </c>
      <c r="N283" s="43" t="s">
        <v>158</v>
      </c>
      <c r="O283" s="43" t="s">
        <v>158</v>
      </c>
      <c r="P283" s="43" t="s">
        <v>158</v>
      </c>
    </row>
    <row r="284" s="11" customFormat="1" spans="1:16">
      <c r="A284" s="32" t="s">
        <v>232</v>
      </c>
      <c r="B284" s="28" t="s">
        <v>195</v>
      </c>
      <c r="C284" s="28" t="s">
        <v>192</v>
      </c>
      <c r="D284" s="33" t="str">
        <f>+IFERROR(VLOOKUP(C284,Data,4,FALSE),"Not in data")</f>
        <v>T</v>
      </c>
      <c r="E284" s="34" t="s">
        <v>149</v>
      </c>
      <c r="F284" s="30">
        <v>1</v>
      </c>
      <c r="G284" s="30">
        <v>1</v>
      </c>
      <c r="H284" s="31">
        <v>2.2</v>
      </c>
      <c r="I284" s="40">
        <f>+IF(F284&lt;&gt;"",F284*G284*H284,0)</f>
        <v>2.2</v>
      </c>
      <c r="J284" s="31">
        <f>+IFERROR(VLOOKUP(C284,Data,2,FALSE),"Not in weight table")</f>
        <v>14.6</v>
      </c>
      <c r="K284" s="31">
        <f>+IFERROR(VLOOKUP(C284,Data,3,FALSE),"Not in weight table")</f>
        <v>0.33</v>
      </c>
      <c r="L284" s="44">
        <f>+IF(ISNUMBER(J284),I284*J284/1000,0)</f>
        <v>0.03212</v>
      </c>
      <c r="M284" s="42">
        <f>+IF(ISNUMBER(K284),I284*K284,0)</f>
        <v>0.726</v>
      </c>
      <c r="N284" s="43" t="s">
        <v>158</v>
      </c>
      <c r="O284" s="43" t="s">
        <v>158</v>
      </c>
      <c r="P284" s="43" t="s">
        <v>158</v>
      </c>
    </row>
    <row r="285" s="11" customFormat="1" spans="1:16">
      <c r="A285" s="32" t="s">
        <v>232</v>
      </c>
      <c r="B285" s="28" t="s">
        <v>195</v>
      </c>
      <c r="C285" s="28" t="s">
        <v>192</v>
      </c>
      <c r="D285" s="33" t="str">
        <f>+IFERROR(VLOOKUP(C285,Data,4,FALSE),"Not in data")</f>
        <v>T</v>
      </c>
      <c r="E285" s="34" t="s">
        <v>149</v>
      </c>
      <c r="F285" s="30">
        <v>1</v>
      </c>
      <c r="G285" s="30">
        <v>4</v>
      </c>
      <c r="H285" s="31">
        <v>3.9</v>
      </c>
      <c r="I285" s="40">
        <f>+IF(F285&lt;&gt;"",F285*G285*H285,0)</f>
        <v>15.6</v>
      </c>
      <c r="J285" s="31">
        <f>+IFERROR(VLOOKUP(C285,Data,2,FALSE),"Not in weight table")</f>
        <v>14.6</v>
      </c>
      <c r="K285" s="31">
        <f>+IFERROR(VLOOKUP(C285,Data,3,FALSE),"Not in weight table")</f>
        <v>0.33</v>
      </c>
      <c r="L285" s="44">
        <f>+IF(ISNUMBER(J285),I285*J285/1000,0)</f>
        <v>0.22776</v>
      </c>
      <c r="M285" s="42">
        <f>+IF(ISNUMBER(K285),I285*K285,0)</f>
        <v>5.148</v>
      </c>
      <c r="N285" s="43" t="s">
        <v>158</v>
      </c>
      <c r="O285" s="43" t="s">
        <v>158</v>
      </c>
      <c r="P285" s="43" t="s">
        <v>158</v>
      </c>
    </row>
    <row r="286" s="11" customFormat="1" spans="1:16">
      <c r="A286" s="32" t="s">
        <v>232</v>
      </c>
      <c r="B286" s="28" t="s">
        <v>195</v>
      </c>
      <c r="C286" s="28" t="s">
        <v>192</v>
      </c>
      <c r="D286" s="33" t="str">
        <f>+IFERROR(VLOOKUP(C286,Data,4,FALSE),"Not in data")</f>
        <v>T</v>
      </c>
      <c r="E286" s="34" t="s">
        <v>149</v>
      </c>
      <c r="F286" s="30">
        <v>1</v>
      </c>
      <c r="G286" s="30">
        <v>1</v>
      </c>
      <c r="H286" s="31">
        <v>2.4</v>
      </c>
      <c r="I286" s="40">
        <f>+IF(F286&lt;&gt;"",F286*G286*H286,0)</f>
        <v>2.4</v>
      </c>
      <c r="J286" s="31">
        <f>+IFERROR(VLOOKUP(C286,Data,2,FALSE),"Not in weight table")</f>
        <v>14.6</v>
      </c>
      <c r="K286" s="31">
        <f>+IFERROR(VLOOKUP(C286,Data,3,FALSE),"Not in weight table")</f>
        <v>0.33</v>
      </c>
      <c r="L286" s="44">
        <f>+IF(ISNUMBER(J286),I286*J286/1000,0)</f>
        <v>0.03504</v>
      </c>
      <c r="M286" s="42">
        <f>+IF(ISNUMBER(K286),I286*K286,0)</f>
        <v>0.792</v>
      </c>
      <c r="N286" s="43" t="s">
        <v>158</v>
      </c>
      <c r="O286" s="43" t="s">
        <v>158</v>
      </c>
      <c r="P286" s="43" t="s">
        <v>158</v>
      </c>
    </row>
    <row r="287" s="11" customFormat="1" spans="1:16">
      <c r="A287" s="32" t="s">
        <v>232</v>
      </c>
      <c r="B287" s="28" t="s">
        <v>195</v>
      </c>
      <c r="C287" s="28" t="s">
        <v>192</v>
      </c>
      <c r="D287" s="33" t="str">
        <f>+IFERROR(VLOOKUP(C287,Data,4,FALSE),"Not in data")</f>
        <v>T</v>
      </c>
      <c r="E287" s="34" t="s">
        <v>149</v>
      </c>
      <c r="F287" s="30">
        <v>1</v>
      </c>
      <c r="G287" s="30">
        <v>1</v>
      </c>
      <c r="H287" s="31">
        <v>4</v>
      </c>
      <c r="I287" s="40">
        <f>+IF(F287&lt;&gt;"",F287*G287*H287,0)</f>
        <v>4</v>
      </c>
      <c r="J287" s="31">
        <f>+IFERROR(VLOOKUP(C287,Data,2,FALSE),"Not in weight table")</f>
        <v>14.6</v>
      </c>
      <c r="K287" s="31">
        <f>+IFERROR(VLOOKUP(C287,Data,3,FALSE),"Not in weight table")</f>
        <v>0.33</v>
      </c>
      <c r="L287" s="44">
        <f>+IF(ISNUMBER(J287),I287*J287/1000,0)</f>
        <v>0.0584</v>
      </c>
      <c r="M287" s="42">
        <f>+IF(ISNUMBER(K287),I287*K287,0)</f>
        <v>1.32</v>
      </c>
      <c r="N287" s="43" t="s">
        <v>158</v>
      </c>
      <c r="O287" s="43" t="s">
        <v>158</v>
      </c>
      <c r="P287" s="43" t="s">
        <v>158</v>
      </c>
    </row>
    <row r="288" s="11" customFormat="1" spans="1:16">
      <c r="A288" s="32" t="s">
        <v>250</v>
      </c>
      <c r="B288" s="28" t="s">
        <v>214</v>
      </c>
      <c r="C288" s="28" t="s">
        <v>189</v>
      </c>
      <c r="D288" s="33" t="str">
        <f>+IFERROR(VLOOKUP(C288,Data,4,FALSE),"Not in data")</f>
        <v>S</v>
      </c>
      <c r="E288" s="34" t="s">
        <v>149</v>
      </c>
      <c r="F288" s="30">
        <v>1</v>
      </c>
      <c r="G288" s="30">
        <v>2</v>
      </c>
      <c r="H288" s="31">
        <v>8.3</v>
      </c>
      <c r="I288" s="40">
        <f>+IF(F288&lt;&gt;"",F288*G288*H288,0)</f>
        <v>16.6</v>
      </c>
      <c r="J288" s="31">
        <f>+IFERROR(VLOOKUP(C288,Data,2,FALSE),"Not in weight table")</f>
        <v>22.9</v>
      </c>
      <c r="K288" s="31">
        <f>+IFERROR(VLOOKUP(C288,Data,3,FALSE),"Not in weight table")</f>
        <v>0.668</v>
      </c>
      <c r="L288" s="44">
        <f>+IF(ISNUMBER(J288),I288*J288/1000,0)</f>
        <v>0.38014</v>
      </c>
      <c r="M288" s="42">
        <f>+IF(ISNUMBER(K288),I288*K288,0)</f>
        <v>11.0888</v>
      </c>
      <c r="N288" s="43" t="s">
        <v>158</v>
      </c>
      <c r="O288" s="43" t="s">
        <v>158</v>
      </c>
      <c r="P288" s="43" t="s">
        <v>158</v>
      </c>
    </row>
    <row r="289" s="11" customFormat="1" spans="1:16">
      <c r="A289" s="32" t="s">
        <v>250</v>
      </c>
      <c r="B289" s="28" t="s">
        <v>255</v>
      </c>
      <c r="C289" s="28" t="s">
        <v>247</v>
      </c>
      <c r="D289" s="33" t="str">
        <f>+IFERROR(VLOOKUP(C289,Data,4,FALSE),"Not in data")</f>
        <v>Not in data</v>
      </c>
      <c r="E289" s="34" t="s">
        <v>149</v>
      </c>
      <c r="F289" s="30">
        <v>1</v>
      </c>
      <c r="G289" s="30">
        <v>1</v>
      </c>
      <c r="H289" s="31">
        <v>9</v>
      </c>
      <c r="I289" s="40">
        <f>+IF(F289&lt;&gt;"",F289*G289*H289,0)</f>
        <v>9</v>
      </c>
      <c r="J289" s="31" t="str">
        <f>+IFERROR(VLOOKUP(C289,Data,2,FALSE),"Not in weight table")</f>
        <v>Not in weight table</v>
      </c>
      <c r="K289" s="31" t="str">
        <f>+IFERROR(VLOOKUP(C289,Data,3,FALSE),"Not in weight table")</f>
        <v>Not in weight table</v>
      </c>
      <c r="L289" s="44">
        <f>+IF(ISNUMBER(J289),I289*J289/1000,0)</f>
        <v>0</v>
      </c>
      <c r="M289" s="42">
        <f>+IF(ISNUMBER(K289),I289*K289,0)</f>
        <v>0</v>
      </c>
      <c r="N289" s="43" t="s">
        <v>158</v>
      </c>
      <c r="O289" s="43" t="s">
        <v>158</v>
      </c>
      <c r="P289" s="43" t="s">
        <v>158</v>
      </c>
    </row>
    <row r="290" s="11" customFormat="1" spans="1:16">
      <c r="A290" s="32" t="s">
        <v>183</v>
      </c>
      <c r="B290" s="28" t="s">
        <v>188</v>
      </c>
      <c r="C290" s="28" t="s">
        <v>189</v>
      </c>
      <c r="D290" s="33" t="str">
        <f>+IFERROR(VLOOKUP(C290,Data,4,FALSE),"Not in data")</f>
        <v>S</v>
      </c>
      <c r="E290" s="34" t="s">
        <v>149</v>
      </c>
      <c r="F290" s="30">
        <v>1</v>
      </c>
      <c r="G290" s="30">
        <v>1</v>
      </c>
      <c r="H290" s="31">
        <v>3.1</v>
      </c>
      <c r="I290" s="40">
        <f>+IF(F290&lt;&gt;"",F290*G290*H290,0)</f>
        <v>3.1</v>
      </c>
      <c r="J290" s="31">
        <f>+IFERROR(VLOOKUP(C290,Data,2,FALSE),"Not in weight table")</f>
        <v>22.9</v>
      </c>
      <c r="K290" s="31">
        <f>+IFERROR(VLOOKUP(C290,Data,3,FALSE),"Not in weight table")</f>
        <v>0.668</v>
      </c>
      <c r="L290" s="44">
        <f>+IF(ISNUMBER(J290),I290*J290/1000,0)</f>
        <v>0.07099</v>
      </c>
      <c r="M290" s="42">
        <f>+IF(ISNUMBER(K290),I290*K290,0)</f>
        <v>2.0708</v>
      </c>
      <c r="N290" s="43" t="s">
        <v>158</v>
      </c>
      <c r="O290" s="43" t="s">
        <v>158</v>
      </c>
      <c r="P290" s="43" t="s">
        <v>158</v>
      </c>
    </row>
    <row r="291" s="11" customFormat="1" spans="1:16">
      <c r="A291" s="32" t="s">
        <v>183</v>
      </c>
      <c r="B291" s="28" t="s">
        <v>215</v>
      </c>
      <c r="C291" s="28" t="s">
        <v>211</v>
      </c>
      <c r="D291" s="33" t="str">
        <f>+IFERROR(VLOOKUP(C291,Data,4,FALSE),"Not in data")</f>
        <v>S</v>
      </c>
      <c r="E291" s="34" t="s">
        <v>149</v>
      </c>
      <c r="F291" s="30">
        <v>1</v>
      </c>
      <c r="G291" s="30">
        <v>2</v>
      </c>
      <c r="H291" s="31">
        <v>6.6</v>
      </c>
      <c r="I291" s="40">
        <f t="shared" ref="I291:I354" si="45">+IF(F291&lt;&gt;"",F291*G291*H291,0)</f>
        <v>13.2</v>
      </c>
      <c r="J291" s="31">
        <f>+IFERROR(VLOOKUP(C291,Data,2,FALSE),"Not in weight table")</f>
        <v>14.3</v>
      </c>
      <c r="K291" s="31">
        <f>+IFERROR(VLOOKUP(C291,Data,3,FALSE),"Not in weight table")</f>
        <v>0.471</v>
      </c>
      <c r="L291" s="44">
        <f t="shared" ref="L291:L354" si="46">+IF(ISNUMBER(J291),I291*J291/1000,0)</f>
        <v>0.18876</v>
      </c>
      <c r="M291" s="42">
        <f t="shared" ref="M291:M354" si="47">+IF(ISNUMBER(K291),I291*K291,0)</f>
        <v>6.2172</v>
      </c>
      <c r="N291" s="43" t="s">
        <v>158</v>
      </c>
      <c r="O291" s="43" t="s">
        <v>158</v>
      </c>
      <c r="P291" s="43" t="s">
        <v>158</v>
      </c>
    </row>
    <row r="292" s="11" customFormat="1" spans="1:16">
      <c r="A292" s="32" t="s">
        <v>250</v>
      </c>
      <c r="B292" s="28" t="s">
        <v>206</v>
      </c>
      <c r="C292" s="28" t="s">
        <v>207</v>
      </c>
      <c r="D292" s="33" t="str">
        <f>+IFERROR(VLOOKUP(C292,Data,4,FALSE),"Not in data")</f>
        <v>S</v>
      </c>
      <c r="E292" s="34" t="s">
        <v>149</v>
      </c>
      <c r="F292" s="30">
        <v>1</v>
      </c>
      <c r="G292" s="30">
        <v>1</v>
      </c>
      <c r="H292" s="31">
        <v>6.9</v>
      </c>
      <c r="I292" s="40">
        <f t="shared" si="45"/>
        <v>6.9</v>
      </c>
      <c r="J292" s="31">
        <f>+IFERROR(VLOOKUP(C292,Data,2,FALSE),"Not in weight table")</f>
        <v>4.56</v>
      </c>
      <c r="K292" s="31">
        <f>+IFERROR(VLOOKUP(C292,Data,3,FALSE),"Not in weight table")</f>
        <v>0.255</v>
      </c>
      <c r="L292" s="44">
        <f t="shared" si="46"/>
        <v>0.031464</v>
      </c>
      <c r="M292" s="42">
        <f t="shared" si="47"/>
        <v>1.7595</v>
      </c>
      <c r="N292" s="43" t="s">
        <v>158</v>
      </c>
      <c r="O292" s="43" t="s">
        <v>158</v>
      </c>
      <c r="P292" s="43" t="s">
        <v>158</v>
      </c>
    </row>
    <row r="293" s="11" customFormat="1" spans="1:16">
      <c r="A293" s="32" t="s">
        <v>250</v>
      </c>
      <c r="B293" s="28" t="s">
        <v>206</v>
      </c>
      <c r="C293" s="28" t="s">
        <v>207</v>
      </c>
      <c r="D293" s="33" t="str">
        <f>+IFERROR(VLOOKUP(C293,Data,4,FALSE),"Not in data")</f>
        <v>S</v>
      </c>
      <c r="E293" s="34" t="s">
        <v>149</v>
      </c>
      <c r="F293" s="30">
        <v>1</v>
      </c>
      <c r="G293" s="30">
        <v>1</v>
      </c>
      <c r="H293" s="31">
        <v>6.7</v>
      </c>
      <c r="I293" s="40">
        <f t="shared" si="45"/>
        <v>6.7</v>
      </c>
      <c r="J293" s="31">
        <f>+IFERROR(VLOOKUP(C293,Data,2,FALSE),"Not in weight table")</f>
        <v>4.56</v>
      </c>
      <c r="K293" s="31">
        <f>+IFERROR(VLOOKUP(C293,Data,3,FALSE),"Not in weight table")</f>
        <v>0.255</v>
      </c>
      <c r="L293" s="44">
        <f t="shared" si="46"/>
        <v>0.030552</v>
      </c>
      <c r="M293" s="42">
        <f t="shared" si="47"/>
        <v>1.7085</v>
      </c>
      <c r="N293" s="43" t="s">
        <v>158</v>
      </c>
      <c r="O293" s="43" t="s">
        <v>158</v>
      </c>
      <c r="P293" s="43" t="s">
        <v>158</v>
      </c>
    </row>
    <row r="294" s="11" customFormat="1" spans="1:16">
      <c r="A294" s="32" t="s">
        <v>250</v>
      </c>
      <c r="B294" s="28" t="s">
        <v>199</v>
      </c>
      <c r="C294" s="28" t="s">
        <v>200</v>
      </c>
      <c r="D294" s="33" t="str">
        <f>+IFERROR(VLOOKUP(C294,Data,4,FALSE),"Not in data")</f>
        <v>Not in data</v>
      </c>
      <c r="E294" s="34" t="s">
        <v>149</v>
      </c>
      <c r="F294" s="30">
        <v>1</v>
      </c>
      <c r="G294" s="30">
        <v>1</v>
      </c>
      <c r="H294" s="31">
        <v>3.4</v>
      </c>
      <c r="I294" s="40">
        <f t="shared" si="45"/>
        <v>3.4</v>
      </c>
      <c r="J294" s="31" t="str">
        <f>+IFERROR(VLOOKUP(C294,Data,2,FALSE),"Not in weight table")</f>
        <v>Not in weight table</v>
      </c>
      <c r="K294" s="31" t="str">
        <f>+IFERROR(VLOOKUP(C294,Data,3,FALSE),"Not in weight table")</f>
        <v>Not in weight table</v>
      </c>
      <c r="L294" s="44">
        <f t="shared" si="46"/>
        <v>0</v>
      </c>
      <c r="M294" s="42">
        <f t="shared" si="47"/>
        <v>0</v>
      </c>
      <c r="N294" s="43" t="s">
        <v>158</v>
      </c>
      <c r="O294" s="43" t="s">
        <v>158</v>
      </c>
      <c r="P294" s="43" t="s">
        <v>158</v>
      </c>
    </row>
    <row r="295" s="11" customFormat="1" spans="1:16">
      <c r="A295" s="32" t="s">
        <v>250</v>
      </c>
      <c r="B295" s="28" t="s">
        <v>255</v>
      </c>
      <c r="C295" s="28" t="s">
        <v>247</v>
      </c>
      <c r="D295" s="33" t="str">
        <f>+IFERROR(VLOOKUP(C295,Data,4,FALSE),"Not in data")</f>
        <v>Not in data</v>
      </c>
      <c r="E295" s="34" t="s">
        <v>149</v>
      </c>
      <c r="F295" s="30">
        <v>1</v>
      </c>
      <c r="G295" s="30">
        <v>1</v>
      </c>
      <c r="H295" s="31">
        <v>9.7</v>
      </c>
      <c r="I295" s="40">
        <f t="shared" si="45"/>
        <v>9.7</v>
      </c>
      <c r="J295" s="31" t="str">
        <f>+IFERROR(VLOOKUP(C295,Data,2,FALSE),"Not in weight table")</f>
        <v>Not in weight table</v>
      </c>
      <c r="K295" s="31" t="str">
        <f>+IFERROR(VLOOKUP(C295,Data,3,FALSE),"Not in weight table")</f>
        <v>Not in weight table</v>
      </c>
      <c r="L295" s="44">
        <f t="shared" si="46"/>
        <v>0</v>
      </c>
      <c r="M295" s="42">
        <f t="shared" si="47"/>
        <v>0</v>
      </c>
      <c r="N295" s="43" t="s">
        <v>158</v>
      </c>
      <c r="O295" s="43" t="s">
        <v>158</v>
      </c>
      <c r="P295" s="43" t="s">
        <v>158</v>
      </c>
    </row>
    <row r="296" s="11" customFormat="1" spans="1:16">
      <c r="A296" s="32" t="s">
        <v>250</v>
      </c>
      <c r="B296" s="28" t="s">
        <v>188</v>
      </c>
      <c r="C296" s="28" t="s">
        <v>189</v>
      </c>
      <c r="D296" s="33" t="str">
        <f>+IFERROR(VLOOKUP(C296,Data,4,FALSE),"Not in data")</f>
        <v>S</v>
      </c>
      <c r="E296" s="34" t="s">
        <v>149</v>
      </c>
      <c r="F296" s="30">
        <v>1</v>
      </c>
      <c r="G296" s="30">
        <v>3</v>
      </c>
      <c r="H296" s="31">
        <v>3.1</v>
      </c>
      <c r="I296" s="40">
        <f t="shared" si="45"/>
        <v>9.3</v>
      </c>
      <c r="J296" s="31">
        <f>+IFERROR(VLOOKUP(C296,Data,2,FALSE),"Not in weight table")</f>
        <v>22.9</v>
      </c>
      <c r="K296" s="31">
        <f>+IFERROR(VLOOKUP(C296,Data,3,FALSE),"Not in weight table")</f>
        <v>0.668</v>
      </c>
      <c r="L296" s="44">
        <f t="shared" si="46"/>
        <v>0.21297</v>
      </c>
      <c r="M296" s="42">
        <f t="shared" si="47"/>
        <v>6.2124</v>
      </c>
      <c r="N296" s="43" t="s">
        <v>158</v>
      </c>
      <c r="O296" s="43" t="s">
        <v>158</v>
      </c>
      <c r="P296" s="43" t="s">
        <v>158</v>
      </c>
    </row>
    <row r="297" s="11" customFormat="1" spans="1:16">
      <c r="A297" s="32" t="s">
        <v>250</v>
      </c>
      <c r="B297" s="28" t="s">
        <v>208</v>
      </c>
      <c r="C297" s="28" t="s">
        <v>235</v>
      </c>
      <c r="D297" s="33" t="str">
        <f>+IFERROR(VLOOKUP(C297,Data,4,FALSE),"Not in data")</f>
        <v>S</v>
      </c>
      <c r="E297" s="34" t="s">
        <v>149</v>
      </c>
      <c r="F297" s="30">
        <v>1</v>
      </c>
      <c r="G297" s="30">
        <v>1</v>
      </c>
      <c r="H297" s="31">
        <v>16.6</v>
      </c>
      <c r="I297" s="40">
        <f t="shared" si="45"/>
        <v>16.6</v>
      </c>
      <c r="J297" s="31">
        <f>+IFERROR(VLOOKUP(C297,Data,2,FALSE),"Not in weight table")</f>
        <v>25.7</v>
      </c>
      <c r="K297" s="31">
        <f>+IFERROR(VLOOKUP(C297,Data,3,FALSE),"Not in weight table")</f>
        <v>0.961</v>
      </c>
      <c r="L297" s="44">
        <f t="shared" si="46"/>
        <v>0.42662</v>
      </c>
      <c r="M297" s="42">
        <f t="shared" si="47"/>
        <v>15.9526</v>
      </c>
      <c r="N297" s="43" t="s">
        <v>158</v>
      </c>
      <c r="O297" s="43" t="s">
        <v>158</v>
      </c>
      <c r="P297" s="43" t="s">
        <v>158</v>
      </c>
    </row>
    <row r="298" s="11" customFormat="1" spans="1:16">
      <c r="A298" s="32" t="s">
        <v>250</v>
      </c>
      <c r="B298" s="28" t="s">
        <v>206</v>
      </c>
      <c r="C298" s="28" t="s">
        <v>207</v>
      </c>
      <c r="D298" s="33" t="str">
        <f>+IFERROR(VLOOKUP(C298,Data,4,FALSE),"Not in data")</f>
        <v>S</v>
      </c>
      <c r="E298" s="34" t="s">
        <v>149</v>
      </c>
      <c r="F298" s="30">
        <v>1</v>
      </c>
      <c r="G298" s="30">
        <v>1</v>
      </c>
      <c r="H298" s="31">
        <v>7.2</v>
      </c>
      <c r="I298" s="40">
        <f t="shared" si="45"/>
        <v>7.2</v>
      </c>
      <c r="J298" s="31">
        <f>+IFERROR(VLOOKUP(C298,Data,2,FALSE),"Not in weight table")</f>
        <v>4.56</v>
      </c>
      <c r="K298" s="31">
        <f>+IFERROR(VLOOKUP(C298,Data,3,FALSE),"Not in weight table")</f>
        <v>0.255</v>
      </c>
      <c r="L298" s="44">
        <f t="shared" si="46"/>
        <v>0.032832</v>
      </c>
      <c r="M298" s="42">
        <f t="shared" si="47"/>
        <v>1.836</v>
      </c>
      <c r="N298" s="43" t="s">
        <v>158</v>
      </c>
      <c r="O298" s="43" t="s">
        <v>158</v>
      </c>
      <c r="P298" s="43" t="s">
        <v>158</v>
      </c>
    </row>
    <row r="299" s="11" customFormat="1" spans="1:16">
      <c r="A299" s="32" t="s">
        <v>250</v>
      </c>
      <c r="B299" s="28" t="s">
        <v>206</v>
      </c>
      <c r="C299" s="28" t="s">
        <v>207</v>
      </c>
      <c r="D299" s="33" t="str">
        <f>+IFERROR(VLOOKUP(C299,Data,4,FALSE),"Not in data")</f>
        <v>S</v>
      </c>
      <c r="E299" s="34" t="s">
        <v>149</v>
      </c>
      <c r="F299" s="30">
        <v>1</v>
      </c>
      <c r="G299" s="30">
        <v>1</v>
      </c>
      <c r="H299" s="31">
        <v>7.2</v>
      </c>
      <c r="I299" s="40">
        <f t="shared" si="45"/>
        <v>7.2</v>
      </c>
      <c r="J299" s="31">
        <f>+IFERROR(VLOOKUP(C299,Data,2,FALSE),"Not in weight table")</f>
        <v>4.56</v>
      </c>
      <c r="K299" s="31">
        <f>+IFERROR(VLOOKUP(C299,Data,3,FALSE),"Not in weight table")</f>
        <v>0.255</v>
      </c>
      <c r="L299" s="44">
        <f t="shared" si="46"/>
        <v>0.032832</v>
      </c>
      <c r="M299" s="42">
        <f t="shared" si="47"/>
        <v>1.836</v>
      </c>
      <c r="N299" s="43" t="s">
        <v>158</v>
      </c>
      <c r="O299" s="43" t="s">
        <v>158</v>
      </c>
      <c r="P299" s="43" t="s">
        <v>158</v>
      </c>
    </row>
    <row r="300" s="11" customFormat="1" spans="1:16">
      <c r="A300" s="32" t="s">
        <v>250</v>
      </c>
      <c r="B300" s="28" t="s">
        <v>199</v>
      </c>
      <c r="C300" s="28" t="s">
        <v>200</v>
      </c>
      <c r="D300" s="33" t="str">
        <f>+IFERROR(VLOOKUP(C300,Data,4,FALSE),"Not in data")</f>
        <v>Not in data</v>
      </c>
      <c r="E300" s="34" t="s">
        <v>149</v>
      </c>
      <c r="F300" s="30">
        <v>1</v>
      </c>
      <c r="G300" s="30">
        <v>2</v>
      </c>
      <c r="H300" s="31">
        <v>3.9</v>
      </c>
      <c r="I300" s="40">
        <f t="shared" si="45"/>
        <v>7.8</v>
      </c>
      <c r="J300" s="31" t="str">
        <f>+IFERROR(VLOOKUP(C300,Data,2,FALSE),"Not in weight table")</f>
        <v>Not in weight table</v>
      </c>
      <c r="K300" s="31" t="str">
        <f>+IFERROR(VLOOKUP(C300,Data,3,FALSE),"Not in weight table")</f>
        <v>Not in weight table</v>
      </c>
      <c r="L300" s="44">
        <f t="shared" si="46"/>
        <v>0</v>
      </c>
      <c r="M300" s="42">
        <f t="shared" si="47"/>
        <v>0</v>
      </c>
      <c r="N300" s="43" t="s">
        <v>158</v>
      </c>
      <c r="O300" s="43" t="s">
        <v>158</v>
      </c>
      <c r="P300" s="43" t="s">
        <v>158</v>
      </c>
    </row>
    <row r="301" s="11" customFormat="1" spans="1:16">
      <c r="A301" s="32" t="s">
        <v>250</v>
      </c>
      <c r="B301" s="28" t="s">
        <v>206</v>
      </c>
      <c r="C301" s="28" t="s">
        <v>207</v>
      </c>
      <c r="D301" s="33" t="str">
        <f>+IFERROR(VLOOKUP(C301,Data,4,FALSE),"Not in data")</f>
        <v>S</v>
      </c>
      <c r="E301" s="34" t="s">
        <v>149</v>
      </c>
      <c r="F301" s="30">
        <v>1</v>
      </c>
      <c r="G301" s="30">
        <v>1</v>
      </c>
      <c r="H301" s="31">
        <v>9.7</v>
      </c>
      <c r="I301" s="40">
        <f t="shared" si="45"/>
        <v>9.7</v>
      </c>
      <c r="J301" s="31">
        <f>+IFERROR(VLOOKUP(C301,Data,2,FALSE),"Not in weight table")</f>
        <v>4.56</v>
      </c>
      <c r="K301" s="31">
        <f>+IFERROR(VLOOKUP(C301,Data,3,FALSE),"Not in weight table")</f>
        <v>0.255</v>
      </c>
      <c r="L301" s="44">
        <f t="shared" si="46"/>
        <v>0.044232</v>
      </c>
      <c r="M301" s="42">
        <f t="shared" si="47"/>
        <v>2.4735</v>
      </c>
      <c r="N301" s="43" t="s">
        <v>158</v>
      </c>
      <c r="O301" s="43" t="s">
        <v>158</v>
      </c>
      <c r="P301" s="43" t="s">
        <v>158</v>
      </c>
    </row>
    <row r="302" s="11" customFormat="1" spans="1:16">
      <c r="A302" s="32" t="s">
        <v>250</v>
      </c>
      <c r="B302" s="28" t="s">
        <v>206</v>
      </c>
      <c r="C302" s="28" t="s">
        <v>207</v>
      </c>
      <c r="D302" s="33" t="str">
        <f>+IFERROR(VLOOKUP(C302,Data,4,FALSE),"Not in data")</f>
        <v>S</v>
      </c>
      <c r="E302" s="34" t="s">
        <v>149</v>
      </c>
      <c r="F302" s="30">
        <v>1</v>
      </c>
      <c r="G302" s="30">
        <v>1</v>
      </c>
      <c r="H302" s="31">
        <v>10.1</v>
      </c>
      <c r="I302" s="40">
        <f t="shared" si="45"/>
        <v>10.1</v>
      </c>
      <c r="J302" s="31">
        <f>+IFERROR(VLOOKUP(C302,Data,2,FALSE),"Not in weight table")</f>
        <v>4.56</v>
      </c>
      <c r="K302" s="31">
        <f>+IFERROR(VLOOKUP(C302,Data,3,FALSE),"Not in weight table")</f>
        <v>0.255</v>
      </c>
      <c r="L302" s="44">
        <f t="shared" si="46"/>
        <v>0.046056</v>
      </c>
      <c r="M302" s="42">
        <f t="shared" si="47"/>
        <v>2.5755</v>
      </c>
      <c r="N302" s="43" t="s">
        <v>158</v>
      </c>
      <c r="O302" s="43" t="s">
        <v>158</v>
      </c>
      <c r="P302" s="43" t="s">
        <v>158</v>
      </c>
    </row>
    <row r="303" s="11" customFormat="1" spans="1:16">
      <c r="A303" s="32" t="s">
        <v>250</v>
      </c>
      <c r="B303" s="28" t="s">
        <v>201</v>
      </c>
      <c r="C303" s="28" t="s">
        <v>202</v>
      </c>
      <c r="D303" s="33" t="str">
        <f>+IFERROR(VLOOKUP(C303,Data,4,FALSE),"Not in data")</f>
        <v>T</v>
      </c>
      <c r="E303" s="34" t="s">
        <v>149</v>
      </c>
      <c r="F303" s="30">
        <v>1</v>
      </c>
      <c r="G303" s="30">
        <v>1</v>
      </c>
      <c r="H303" s="31">
        <v>8.1</v>
      </c>
      <c r="I303" s="40">
        <f t="shared" si="45"/>
        <v>8.1</v>
      </c>
      <c r="J303" s="31">
        <f>+IFERROR(VLOOKUP(C303,Data,2,FALSE),"Not in weight table")</f>
        <v>19.4</v>
      </c>
      <c r="K303" s="31">
        <f>+IFERROR(VLOOKUP(C303,Data,3,FALSE),"Not in weight table")</f>
        <v>0.529</v>
      </c>
      <c r="L303" s="44">
        <f t="shared" si="46"/>
        <v>0.15714</v>
      </c>
      <c r="M303" s="42">
        <f t="shared" si="47"/>
        <v>4.2849</v>
      </c>
      <c r="N303" s="43" t="s">
        <v>158</v>
      </c>
      <c r="O303" s="43" t="s">
        <v>158</v>
      </c>
      <c r="P303" s="43" t="s">
        <v>158</v>
      </c>
    </row>
    <row r="304" s="11" customFormat="1" spans="1:16">
      <c r="A304" s="32" t="s">
        <v>250</v>
      </c>
      <c r="B304" s="28" t="s">
        <v>201</v>
      </c>
      <c r="C304" s="28" t="s">
        <v>202</v>
      </c>
      <c r="D304" s="33" t="str">
        <f>+IFERROR(VLOOKUP(C304,Data,4,FALSE),"Not in data")</f>
        <v>T</v>
      </c>
      <c r="E304" s="34" t="s">
        <v>149</v>
      </c>
      <c r="F304" s="30">
        <v>1</v>
      </c>
      <c r="G304" s="30">
        <v>1</v>
      </c>
      <c r="H304" s="31">
        <v>8.4</v>
      </c>
      <c r="I304" s="40">
        <f t="shared" si="45"/>
        <v>8.4</v>
      </c>
      <c r="J304" s="31">
        <f>+IFERROR(VLOOKUP(C304,Data,2,FALSE),"Not in weight table")</f>
        <v>19.4</v>
      </c>
      <c r="K304" s="31">
        <f>+IFERROR(VLOOKUP(C304,Data,3,FALSE),"Not in weight table")</f>
        <v>0.529</v>
      </c>
      <c r="L304" s="44">
        <f t="shared" si="46"/>
        <v>0.16296</v>
      </c>
      <c r="M304" s="42">
        <f t="shared" si="47"/>
        <v>4.4436</v>
      </c>
      <c r="N304" s="43" t="s">
        <v>158</v>
      </c>
      <c r="O304" s="43" t="s">
        <v>158</v>
      </c>
      <c r="P304" s="43" t="s">
        <v>158</v>
      </c>
    </row>
    <row r="305" s="11" customFormat="1" spans="1:16">
      <c r="A305" s="32" t="s">
        <v>250</v>
      </c>
      <c r="B305" s="28" t="s">
        <v>184</v>
      </c>
      <c r="C305" s="28" t="s">
        <v>185</v>
      </c>
      <c r="D305" s="33" t="str">
        <f>+IFERROR(VLOOKUP(C305,Data,4,FALSE),"Not in data")</f>
        <v>Not in data</v>
      </c>
      <c r="E305" s="34" t="s">
        <v>149</v>
      </c>
      <c r="F305" s="30">
        <v>1</v>
      </c>
      <c r="G305" s="30">
        <v>3</v>
      </c>
      <c r="H305" s="31">
        <v>4.5</v>
      </c>
      <c r="I305" s="40">
        <f t="shared" si="45"/>
        <v>13.5</v>
      </c>
      <c r="J305" s="31" t="str">
        <f>+IFERROR(VLOOKUP(C305,Data,2,FALSE),"Not in weight table")</f>
        <v>Not in weight table</v>
      </c>
      <c r="K305" s="31" t="str">
        <f>+IFERROR(VLOOKUP(C305,Data,3,FALSE),"Not in weight table")</f>
        <v>Not in weight table</v>
      </c>
      <c r="L305" s="44">
        <f t="shared" si="46"/>
        <v>0</v>
      </c>
      <c r="M305" s="42">
        <f t="shared" si="47"/>
        <v>0</v>
      </c>
      <c r="N305" s="43" t="s">
        <v>158</v>
      </c>
      <c r="O305" s="43" t="s">
        <v>158</v>
      </c>
      <c r="P305" s="43" t="s">
        <v>158</v>
      </c>
    </row>
    <row r="306" s="11" customFormat="1" spans="1:16">
      <c r="A306" s="32" t="s">
        <v>250</v>
      </c>
      <c r="B306" s="28" t="s">
        <v>188</v>
      </c>
      <c r="C306" s="28" t="s">
        <v>189</v>
      </c>
      <c r="D306" s="33" t="str">
        <f>+IFERROR(VLOOKUP(C306,Data,4,FALSE),"Not in data")</f>
        <v>S</v>
      </c>
      <c r="E306" s="34" t="s">
        <v>149</v>
      </c>
      <c r="F306" s="30">
        <v>1</v>
      </c>
      <c r="G306" s="30">
        <v>2</v>
      </c>
      <c r="H306" s="31">
        <v>3.1</v>
      </c>
      <c r="I306" s="40">
        <f t="shared" si="45"/>
        <v>6.2</v>
      </c>
      <c r="J306" s="31">
        <f>+IFERROR(VLOOKUP(C306,Data,2,FALSE),"Not in weight table")</f>
        <v>22.9</v>
      </c>
      <c r="K306" s="31">
        <f>+IFERROR(VLOOKUP(C306,Data,3,FALSE),"Not in weight table")</f>
        <v>0.668</v>
      </c>
      <c r="L306" s="44">
        <f t="shared" si="46"/>
        <v>0.14198</v>
      </c>
      <c r="M306" s="42">
        <f t="shared" si="47"/>
        <v>4.1416</v>
      </c>
      <c r="N306" s="43" t="s">
        <v>158</v>
      </c>
      <c r="O306" s="43" t="s">
        <v>158</v>
      </c>
      <c r="P306" s="43" t="s">
        <v>158</v>
      </c>
    </row>
    <row r="307" s="11" customFormat="1" spans="1:16">
      <c r="A307" s="32" t="s">
        <v>250</v>
      </c>
      <c r="B307" s="28" t="s">
        <v>184</v>
      </c>
      <c r="C307" s="28" t="s">
        <v>185</v>
      </c>
      <c r="D307" s="33" t="str">
        <f>+IFERROR(VLOOKUP(C307,Data,4,FALSE),"Not in data")</f>
        <v>Not in data</v>
      </c>
      <c r="E307" s="34" t="s">
        <v>149</v>
      </c>
      <c r="F307" s="30">
        <v>1</v>
      </c>
      <c r="G307" s="30">
        <v>20</v>
      </c>
      <c r="H307" s="31">
        <v>4.5</v>
      </c>
      <c r="I307" s="40">
        <f t="shared" si="45"/>
        <v>90</v>
      </c>
      <c r="J307" s="31" t="str">
        <f>+IFERROR(VLOOKUP(C307,Data,2,FALSE),"Not in weight table")</f>
        <v>Not in weight table</v>
      </c>
      <c r="K307" s="31" t="str">
        <f>+IFERROR(VLOOKUP(C307,Data,3,FALSE),"Not in weight table")</f>
        <v>Not in weight table</v>
      </c>
      <c r="L307" s="44">
        <f t="shared" si="46"/>
        <v>0</v>
      </c>
      <c r="M307" s="42">
        <f t="shared" si="47"/>
        <v>0</v>
      </c>
      <c r="N307" s="43" t="s">
        <v>158</v>
      </c>
      <c r="O307" s="43" t="s">
        <v>158</v>
      </c>
      <c r="P307" s="43" t="s">
        <v>158</v>
      </c>
    </row>
    <row r="308" s="11" customFormat="1" spans="1:16">
      <c r="A308" s="32" t="s">
        <v>250</v>
      </c>
      <c r="B308" s="28" t="s">
        <v>208</v>
      </c>
      <c r="C308" s="28" t="s">
        <v>235</v>
      </c>
      <c r="D308" s="33" t="str">
        <f>+IFERROR(VLOOKUP(C308,Data,4,FALSE),"Not in data")</f>
        <v>S</v>
      </c>
      <c r="E308" s="34" t="s">
        <v>149</v>
      </c>
      <c r="F308" s="30">
        <v>1</v>
      </c>
      <c r="G308" s="30">
        <v>3</v>
      </c>
      <c r="H308" s="31">
        <v>16.8</v>
      </c>
      <c r="I308" s="40">
        <f t="shared" si="45"/>
        <v>50.4</v>
      </c>
      <c r="J308" s="31">
        <f>+IFERROR(VLOOKUP(C308,Data,2,FALSE),"Not in weight table")</f>
        <v>25.7</v>
      </c>
      <c r="K308" s="31">
        <f>+IFERROR(VLOOKUP(C308,Data,3,FALSE),"Not in weight table")</f>
        <v>0.961</v>
      </c>
      <c r="L308" s="44">
        <f t="shared" si="46"/>
        <v>1.29528</v>
      </c>
      <c r="M308" s="42">
        <f t="shared" si="47"/>
        <v>48.4344</v>
      </c>
      <c r="N308" s="43" t="s">
        <v>158</v>
      </c>
      <c r="O308" s="43" t="s">
        <v>158</v>
      </c>
      <c r="P308" s="43" t="s">
        <v>158</v>
      </c>
    </row>
    <row r="309" s="11" customFormat="1" spans="1:16">
      <c r="A309" s="32" t="s">
        <v>250</v>
      </c>
      <c r="B309" s="28" t="s">
        <v>206</v>
      </c>
      <c r="C309" s="28" t="s">
        <v>207</v>
      </c>
      <c r="D309" s="33" t="str">
        <f>+IFERROR(VLOOKUP(C309,Data,4,FALSE),"Not in data")</f>
        <v>S</v>
      </c>
      <c r="E309" s="34" t="s">
        <v>149</v>
      </c>
      <c r="F309" s="30">
        <v>1</v>
      </c>
      <c r="G309" s="30">
        <v>1</v>
      </c>
      <c r="H309" s="31">
        <v>10</v>
      </c>
      <c r="I309" s="40">
        <f t="shared" si="45"/>
        <v>10</v>
      </c>
      <c r="J309" s="31">
        <f>+IFERROR(VLOOKUP(C309,Data,2,FALSE),"Not in weight table")</f>
        <v>4.56</v>
      </c>
      <c r="K309" s="31">
        <f>+IFERROR(VLOOKUP(C309,Data,3,FALSE),"Not in weight table")</f>
        <v>0.255</v>
      </c>
      <c r="L309" s="44">
        <f t="shared" si="46"/>
        <v>0.0456</v>
      </c>
      <c r="M309" s="42">
        <f t="shared" si="47"/>
        <v>2.55</v>
      </c>
      <c r="N309" s="43" t="s">
        <v>158</v>
      </c>
      <c r="O309" s="43" t="s">
        <v>158</v>
      </c>
      <c r="P309" s="43" t="s">
        <v>158</v>
      </c>
    </row>
    <row r="310" s="11" customFormat="1" spans="1:16">
      <c r="A310" s="32" t="s">
        <v>250</v>
      </c>
      <c r="B310" s="28" t="s">
        <v>206</v>
      </c>
      <c r="C310" s="28" t="s">
        <v>207</v>
      </c>
      <c r="D310" s="33" t="str">
        <f>+IFERROR(VLOOKUP(C310,Data,4,FALSE),"Not in data")</f>
        <v>S</v>
      </c>
      <c r="E310" s="34" t="s">
        <v>149</v>
      </c>
      <c r="F310" s="30">
        <v>1</v>
      </c>
      <c r="G310" s="30">
        <v>1</v>
      </c>
      <c r="H310" s="31">
        <v>9.7</v>
      </c>
      <c r="I310" s="40">
        <f t="shared" si="45"/>
        <v>9.7</v>
      </c>
      <c r="J310" s="31">
        <f>+IFERROR(VLOOKUP(C310,Data,2,FALSE),"Not in weight table")</f>
        <v>4.56</v>
      </c>
      <c r="K310" s="31">
        <f>+IFERROR(VLOOKUP(C310,Data,3,FALSE),"Not in weight table")</f>
        <v>0.255</v>
      </c>
      <c r="L310" s="44">
        <f t="shared" si="46"/>
        <v>0.044232</v>
      </c>
      <c r="M310" s="42">
        <f t="shared" si="47"/>
        <v>2.4735</v>
      </c>
      <c r="N310" s="43" t="s">
        <v>158</v>
      </c>
      <c r="O310" s="43" t="s">
        <v>158</v>
      </c>
      <c r="P310" s="43" t="s">
        <v>158</v>
      </c>
    </row>
    <row r="311" s="11" customFormat="1" spans="1:16">
      <c r="A311" s="32" t="s">
        <v>250</v>
      </c>
      <c r="B311" s="28" t="s">
        <v>201</v>
      </c>
      <c r="C311" s="28" t="s">
        <v>202</v>
      </c>
      <c r="D311" s="33" t="str">
        <f>+IFERROR(VLOOKUP(C311,Data,4,FALSE),"Not in data")</f>
        <v>T</v>
      </c>
      <c r="E311" s="34" t="s">
        <v>149</v>
      </c>
      <c r="F311" s="30">
        <v>1</v>
      </c>
      <c r="G311" s="30">
        <v>1</v>
      </c>
      <c r="H311" s="31">
        <v>7.5</v>
      </c>
      <c r="I311" s="40">
        <f t="shared" si="45"/>
        <v>7.5</v>
      </c>
      <c r="J311" s="31">
        <f>+IFERROR(VLOOKUP(C311,Data,2,FALSE),"Not in weight table")</f>
        <v>19.4</v>
      </c>
      <c r="K311" s="31">
        <f>+IFERROR(VLOOKUP(C311,Data,3,FALSE),"Not in weight table")</f>
        <v>0.529</v>
      </c>
      <c r="L311" s="44">
        <f t="shared" si="46"/>
        <v>0.1455</v>
      </c>
      <c r="M311" s="42">
        <f t="shared" si="47"/>
        <v>3.9675</v>
      </c>
      <c r="N311" s="43" t="s">
        <v>158</v>
      </c>
      <c r="O311" s="43" t="s">
        <v>158</v>
      </c>
      <c r="P311" s="43" t="s">
        <v>158</v>
      </c>
    </row>
    <row r="312" s="11" customFormat="1" spans="1:16">
      <c r="A312" s="32" t="s">
        <v>250</v>
      </c>
      <c r="B312" s="28" t="s">
        <v>201</v>
      </c>
      <c r="C312" s="28" t="s">
        <v>202</v>
      </c>
      <c r="D312" s="33" t="str">
        <f>+IFERROR(VLOOKUP(C312,Data,4,FALSE),"Not in data")</f>
        <v>T</v>
      </c>
      <c r="E312" s="34" t="s">
        <v>149</v>
      </c>
      <c r="F312" s="30">
        <v>1</v>
      </c>
      <c r="G312" s="30">
        <v>1</v>
      </c>
      <c r="H312" s="31">
        <v>7.5</v>
      </c>
      <c r="I312" s="40">
        <f t="shared" si="45"/>
        <v>7.5</v>
      </c>
      <c r="J312" s="31">
        <f>+IFERROR(VLOOKUP(C312,Data,2,FALSE),"Not in weight table")</f>
        <v>19.4</v>
      </c>
      <c r="K312" s="31">
        <f>+IFERROR(VLOOKUP(C312,Data,3,FALSE),"Not in weight table")</f>
        <v>0.529</v>
      </c>
      <c r="L312" s="44">
        <f t="shared" si="46"/>
        <v>0.1455</v>
      </c>
      <c r="M312" s="42">
        <f t="shared" si="47"/>
        <v>3.9675</v>
      </c>
      <c r="N312" s="43" t="s">
        <v>158</v>
      </c>
      <c r="O312" s="43" t="s">
        <v>158</v>
      </c>
      <c r="P312" s="43" t="s">
        <v>158</v>
      </c>
    </row>
    <row r="313" s="11" customFormat="1" spans="1:16">
      <c r="A313" s="32" t="s">
        <v>250</v>
      </c>
      <c r="B313" s="28" t="s">
        <v>206</v>
      </c>
      <c r="C313" s="28" t="s">
        <v>207</v>
      </c>
      <c r="D313" s="33" t="str">
        <f>+IFERROR(VLOOKUP(C313,Data,4,FALSE),"Not in data")</f>
        <v>S</v>
      </c>
      <c r="E313" s="34" t="s">
        <v>149</v>
      </c>
      <c r="F313" s="30">
        <v>1</v>
      </c>
      <c r="G313" s="30">
        <v>2</v>
      </c>
      <c r="H313" s="31">
        <v>7.2</v>
      </c>
      <c r="I313" s="40">
        <f t="shared" si="45"/>
        <v>14.4</v>
      </c>
      <c r="J313" s="31">
        <f>+IFERROR(VLOOKUP(C313,Data,2,FALSE),"Not in weight table")</f>
        <v>4.56</v>
      </c>
      <c r="K313" s="31">
        <f>+IFERROR(VLOOKUP(C313,Data,3,FALSE),"Not in weight table")</f>
        <v>0.255</v>
      </c>
      <c r="L313" s="44">
        <f t="shared" si="46"/>
        <v>0.065664</v>
      </c>
      <c r="M313" s="42">
        <f t="shared" si="47"/>
        <v>3.672</v>
      </c>
      <c r="N313" s="43" t="s">
        <v>158</v>
      </c>
      <c r="O313" s="43" t="s">
        <v>158</v>
      </c>
      <c r="P313" s="43" t="s">
        <v>158</v>
      </c>
    </row>
    <row r="314" s="11" customFormat="1" spans="1:16">
      <c r="A314" s="32" t="s">
        <v>250</v>
      </c>
      <c r="B314" s="28" t="s">
        <v>199</v>
      </c>
      <c r="C314" s="28" t="s">
        <v>200</v>
      </c>
      <c r="D314" s="33" t="str">
        <f>+IFERROR(VLOOKUP(C314,Data,4,FALSE),"Not in data")</f>
        <v>Not in data</v>
      </c>
      <c r="E314" s="34" t="s">
        <v>149</v>
      </c>
      <c r="F314" s="30">
        <v>1</v>
      </c>
      <c r="G314" s="30">
        <v>2</v>
      </c>
      <c r="H314" s="31">
        <v>3.72</v>
      </c>
      <c r="I314" s="40">
        <f t="shared" si="45"/>
        <v>7.44</v>
      </c>
      <c r="J314" s="31" t="str">
        <f>+IFERROR(VLOOKUP(C314,Data,2,FALSE),"Not in weight table")</f>
        <v>Not in weight table</v>
      </c>
      <c r="K314" s="31" t="str">
        <f>+IFERROR(VLOOKUP(C314,Data,3,FALSE),"Not in weight table")</f>
        <v>Not in weight table</v>
      </c>
      <c r="L314" s="44">
        <f t="shared" si="46"/>
        <v>0</v>
      </c>
      <c r="M314" s="42">
        <f t="shared" si="47"/>
        <v>0</v>
      </c>
      <c r="N314" s="43" t="s">
        <v>158</v>
      </c>
      <c r="O314" s="43" t="s">
        <v>158</v>
      </c>
      <c r="P314" s="43" t="s">
        <v>158</v>
      </c>
    </row>
    <row r="315" s="11" customFormat="1" spans="1:16">
      <c r="A315" s="32" t="s">
        <v>250</v>
      </c>
      <c r="B315" s="28" t="s">
        <v>193</v>
      </c>
      <c r="C315" s="28" t="s">
        <v>194</v>
      </c>
      <c r="D315" s="33" t="str">
        <f>+IFERROR(VLOOKUP(C315,Data,4,FALSE),"Not in data")</f>
        <v>T</v>
      </c>
      <c r="E315" s="34" t="s">
        <v>149</v>
      </c>
      <c r="F315" s="30">
        <v>1</v>
      </c>
      <c r="G315" s="30">
        <v>1</v>
      </c>
      <c r="H315" s="31">
        <v>6</v>
      </c>
      <c r="I315" s="40">
        <f t="shared" si="45"/>
        <v>6</v>
      </c>
      <c r="J315" s="31">
        <f>+IFERROR(VLOOKUP(C315,Data,2,FALSE),"Not in weight table")</f>
        <v>17.9</v>
      </c>
      <c r="K315" s="31">
        <f>+IFERROR(VLOOKUP(C315,Data,3,FALSE),"Not in weight table")</f>
        <v>0.583</v>
      </c>
      <c r="L315" s="44">
        <f t="shared" si="46"/>
        <v>0.1074</v>
      </c>
      <c r="M315" s="42">
        <f t="shared" si="47"/>
        <v>3.498</v>
      </c>
      <c r="N315" s="43" t="s">
        <v>158</v>
      </c>
      <c r="O315" s="43" t="s">
        <v>158</v>
      </c>
      <c r="P315" s="43" t="s">
        <v>158</v>
      </c>
    </row>
    <row r="316" s="11" customFormat="1" spans="1:16">
      <c r="A316" s="32" t="s">
        <v>250</v>
      </c>
      <c r="B316" s="28" t="s">
        <v>188</v>
      </c>
      <c r="C316" s="28" t="s">
        <v>189</v>
      </c>
      <c r="D316" s="33" t="str">
        <f>+IFERROR(VLOOKUP(C316,Data,4,FALSE),"Not in data")</f>
        <v>S</v>
      </c>
      <c r="E316" s="34" t="s">
        <v>149</v>
      </c>
      <c r="F316" s="30">
        <v>1</v>
      </c>
      <c r="G316" s="30">
        <v>2</v>
      </c>
      <c r="H316" s="31">
        <v>3.1</v>
      </c>
      <c r="I316" s="40">
        <f t="shared" si="45"/>
        <v>6.2</v>
      </c>
      <c r="J316" s="31">
        <f>+IFERROR(VLOOKUP(C316,Data,2,FALSE),"Not in weight table")</f>
        <v>22.9</v>
      </c>
      <c r="K316" s="31">
        <f>+IFERROR(VLOOKUP(C316,Data,3,FALSE),"Not in weight table")</f>
        <v>0.668</v>
      </c>
      <c r="L316" s="44">
        <f t="shared" si="46"/>
        <v>0.14198</v>
      </c>
      <c r="M316" s="42">
        <f t="shared" si="47"/>
        <v>4.1416</v>
      </c>
      <c r="N316" s="43" t="s">
        <v>158</v>
      </c>
      <c r="O316" s="43" t="s">
        <v>158</v>
      </c>
      <c r="P316" s="43" t="s">
        <v>158</v>
      </c>
    </row>
    <row r="317" s="11" customFormat="1" spans="1:16">
      <c r="A317" s="32" t="s">
        <v>250</v>
      </c>
      <c r="B317" s="28" t="s">
        <v>206</v>
      </c>
      <c r="C317" s="28" t="s">
        <v>207</v>
      </c>
      <c r="D317" s="33" t="str">
        <f>+IFERROR(VLOOKUP(C317,Data,4,FALSE),"Not in data")</f>
        <v>S</v>
      </c>
      <c r="E317" s="34" t="s">
        <v>149</v>
      </c>
      <c r="F317" s="30">
        <v>1</v>
      </c>
      <c r="G317" s="30">
        <v>1</v>
      </c>
      <c r="H317" s="31">
        <v>8.2</v>
      </c>
      <c r="I317" s="40">
        <f t="shared" si="45"/>
        <v>8.2</v>
      </c>
      <c r="J317" s="31">
        <f>+IFERROR(VLOOKUP(C317,Data,2,FALSE),"Not in weight table")</f>
        <v>4.56</v>
      </c>
      <c r="K317" s="31">
        <f>+IFERROR(VLOOKUP(C317,Data,3,FALSE),"Not in weight table")</f>
        <v>0.255</v>
      </c>
      <c r="L317" s="44">
        <f t="shared" si="46"/>
        <v>0.037392</v>
      </c>
      <c r="M317" s="42">
        <f t="shared" si="47"/>
        <v>2.091</v>
      </c>
      <c r="N317" s="43" t="s">
        <v>158</v>
      </c>
      <c r="O317" s="43" t="s">
        <v>158</v>
      </c>
      <c r="P317" s="43" t="s">
        <v>158</v>
      </c>
    </row>
    <row r="318" s="11" customFormat="1" spans="1:16">
      <c r="A318" s="32" t="s">
        <v>250</v>
      </c>
      <c r="B318" s="28" t="s">
        <v>206</v>
      </c>
      <c r="C318" s="28" t="s">
        <v>207</v>
      </c>
      <c r="D318" s="33" t="str">
        <f>+IFERROR(VLOOKUP(C318,Data,4,FALSE),"Not in data")</f>
        <v>S</v>
      </c>
      <c r="E318" s="34" t="s">
        <v>149</v>
      </c>
      <c r="F318" s="30">
        <v>1</v>
      </c>
      <c r="G318" s="30">
        <v>1</v>
      </c>
      <c r="H318" s="31">
        <v>10.9</v>
      </c>
      <c r="I318" s="40">
        <f t="shared" si="45"/>
        <v>10.9</v>
      </c>
      <c r="J318" s="31">
        <f>+IFERROR(VLOOKUP(C318,Data,2,FALSE),"Not in weight table")</f>
        <v>4.56</v>
      </c>
      <c r="K318" s="31">
        <f>+IFERROR(VLOOKUP(C318,Data,3,FALSE),"Not in weight table")</f>
        <v>0.255</v>
      </c>
      <c r="L318" s="44">
        <f t="shared" si="46"/>
        <v>0.049704</v>
      </c>
      <c r="M318" s="42">
        <f t="shared" si="47"/>
        <v>2.7795</v>
      </c>
      <c r="N318" s="43" t="s">
        <v>158</v>
      </c>
      <c r="O318" s="43" t="s">
        <v>158</v>
      </c>
      <c r="P318" s="43" t="s">
        <v>158</v>
      </c>
    </row>
    <row r="319" s="11" customFormat="1" spans="1:16">
      <c r="A319" s="32" t="s">
        <v>250</v>
      </c>
      <c r="B319" s="28" t="s">
        <v>199</v>
      </c>
      <c r="C319" s="28" t="s">
        <v>200</v>
      </c>
      <c r="D319" s="33" t="str">
        <f>+IFERROR(VLOOKUP(C319,Data,4,FALSE),"Not in data")</f>
        <v>Not in data</v>
      </c>
      <c r="E319" s="34" t="s">
        <v>149</v>
      </c>
      <c r="F319" s="30">
        <v>1</v>
      </c>
      <c r="G319" s="30">
        <v>1</v>
      </c>
      <c r="H319" s="31">
        <v>6.2</v>
      </c>
      <c r="I319" s="40">
        <f t="shared" si="45"/>
        <v>6.2</v>
      </c>
      <c r="J319" s="31" t="str">
        <f>+IFERROR(VLOOKUP(C319,Data,2,FALSE),"Not in weight table")</f>
        <v>Not in weight table</v>
      </c>
      <c r="K319" s="31" t="str">
        <f>+IFERROR(VLOOKUP(C319,Data,3,FALSE),"Not in weight table")</f>
        <v>Not in weight table</v>
      </c>
      <c r="L319" s="44">
        <f t="shared" si="46"/>
        <v>0</v>
      </c>
      <c r="M319" s="42">
        <f t="shared" si="47"/>
        <v>0</v>
      </c>
      <c r="N319" s="43" t="s">
        <v>158</v>
      </c>
      <c r="O319" s="43" t="s">
        <v>158</v>
      </c>
      <c r="P319" s="43" t="s">
        <v>158</v>
      </c>
    </row>
    <row r="320" s="11" customFormat="1" spans="1:16">
      <c r="A320" s="32" t="s">
        <v>250</v>
      </c>
      <c r="B320" s="28" t="s">
        <v>199</v>
      </c>
      <c r="C320" s="28" t="s">
        <v>200</v>
      </c>
      <c r="D320" s="33" t="str">
        <f>+IFERROR(VLOOKUP(C320,Data,4,FALSE),"Not in data")</f>
        <v>Not in data</v>
      </c>
      <c r="E320" s="34" t="s">
        <v>149</v>
      </c>
      <c r="F320" s="30">
        <v>1</v>
      </c>
      <c r="G320" s="30">
        <v>1</v>
      </c>
      <c r="H320" s="31">
        <v>2</v>
      </c>
      <c r="I320" s="40">
        <f t="shared" si="45"/>
        <v>2</v>
      </c>
      <c r="J320" s="31" t="str">
        <f>+IFERROR(VLOOKUP(C320,Data,2,FALSE),"Not in weight table")</f>
        <v>Not in weight table</v>
      </c>
      <c r="K320" s="31" t="str">
        <f>+IFERROR(VLOOKUP(C320,Data,3,FALSE),"Not in weight table")</f>
        <v>Not in weight table</v>
      </c>
      <c r="L320" s="44">
        <f t="shared" si="46"/>
        <v>0</v>
      </c>
      <c r="M320" s="42">
        <f t="shared" si="47"/>
        <v>0</v>
      </c>
      <c r="N320" s="43" t="s">
        <v>158</v>
      </c>
      <c r="O320" s="43" t="s">
        <v>158</v>
      </c>
      <c r="P320" s="43" t="s">
        <v>158</v>
      </c>
    </row>
    <row r="321" s="11" customFormat="1" spans="1:16">
      <c r="A321" s="32" t="s">
        <v>250</v>
      </c>
      <c r="B321" s="28" t="s">
        <v>199</v>
      </c>
      <c r="C321" s="28" t="s">
        <v>200</v>
      </c>
      <c r="D321" s="33" t="str">
        <f>+IFERROR(VLOOKUP(C321,Data,4,FALSE),"Not in data")</f>
        <v>Not in data</v>
      </c>
      <c r="E321" s="34" t="s">
        <v>149</v>
      </c>
      <c r="F321" s="30">
        <v>1</v>
      </c>
      <c r="G321" s="30">
        <v>1</v>
      </c>
      <c r="H321" s="31">
        <v>5.5</v>
      </c>
      <c r="I321" s="40">
        <f t="shared" si="45"/>
        <v>5.5</v>
      </c>
      <c r="J321" s="31" t="str">
        <f>+IFERROR(VLOOKUP(C321,Data,2,FALSE),"Not in weight table")</f>
        <v>Not in weight table</v>
      </c>
      <c r="K321" s="31" t="str">
        <f>+IFERROR(VLOOKUP(C321,Data,3,FALSE),"Not in weight table")</f>
        <v>Not in weight table</v>
      </c>
      <c r="L321" s="44">
        <f t="shared" si="46"/>
        <v>0</v>
      </c>
      <c r="M321" s="42">
        <f t="shared" si="47"/>
        <v>0</v>
      </c>
      <c r="N321" s="43" t="s">
        <v>158</v>
      </c>
      <c r="O321" s="43" t="s">
        <v>158</v>
      </c>
      <c r="P321" s="43" t="s">
        <v>158</v>
      </c>
    </row>
    <row r="322" s="11" customFormat="1" spans="1:16">
      <c r="A322" s="32" t="s">
        <v>250</v>
      </c>
      <c r="B322" s="28" t="s">
        <v>233</v>
      </c>
      <c r="C322" s="28" t="s">
        <v>234</v>
      </c>
      <c r="D322" s="33" t="str">
        <f>+IFERROR(VLOOKUP(C322,Data,4,FALSE),"Not in data")</f>
        <v>S</v>
      </c>
      <c r="E322" s="34" t="s">
        <v>149</v>
      </c>
      <c r="F322" s="30">
        <v>1</v>
      </c>
      <c r="G322" s="30">
        <v>1</v>
      </c>
      <c r="H322" s="31">
        <v>15</v>
      </c>
      <c r="I322" s="40">
        <f t="shared" si="45"/>
        <v>15</v>
      </c>
      <c r="J322" s="31">
        <f>+IFERROR(VLOOKUP(C322,Data,2,FALSE),"Not in weight table")</f>
        <v>35.5</v>
      </c>
      <c r="K322" s="31">
        <f>+IFERROR(VLOOKUP(C322,Data,3,FALSE),"Not in weight table")</f>
        <v>0.822</v>
      </c>
      <c r="L322" s="44">
        <f t="shared" si="46"/>
        <v>0.5325</v>
      </c>
      <c r="M322" s="42">
        <f t="shared" si="47"/>
        <v>12.33</v>
      </c>
      <c r="N322" s="43" t="s">
        <v>158</v>
      </c>
      <c r="O322" s="43" t="s">
        <v>158</v>
      </c>
      <c r="P322" s="43" t="s">
        <v>158</v>
      </c>
    </row>
    <row r="323" s="11" customFormat="1" spans="1:16">
      <c r="A323" s="32" t="s">
        <v>250</v>
      </c>
      <c r="B323" s="28" t="s">
        <v>256</v>
      </c>
      <c r="C323" s="28" t="s">
        <v>234</v>
      </c>
      <c r="D323" s="33" t="str">
        <f>+IFERROR(VLOOKUP(C323,Data,4,FALSE),"Not in data")</f>
        <v>S</v>
      </c>
      <c r="E323" s="34" t="s">
        <v>149</v>
      </c>
      <c r="F323" s="30">
        <v>1</v>
      </c>
      <c r="G323" s="30">
        <v>1</v>
      </c>
      <c r="H323" s="31">
        <v>2.7</v>
      </c>
      <c r="I323" s="40">
        <f t="shared" si="45"/>
        <v>2.7</v>
      </c>
      <c r="J323" s="31">
        <f>+IFERROR(VLOOKUP(C323,Data,2,FALSE),"Not in weight table")</f>
        <v>35.5</v>
      </c>
      <c r="K323" s="31">
        <f>+IFERROR(VLOOKUP(C323,Data,3,FALSE),"Not in weight table")</f>
        <v>0.822</v>
      </c>
      <c r="L323" s="44">
        <f t="shared" si="46"/>
        <v>0.09585</v>
      </c>
      <c r="M323" s="42">
        <f t="shared" si="47"/>
        <v>2.2194</v>
      </c>
      <c r="N323" s="43" t="s">
        <v>158</v>
      </c>
      <c r="O323" s="43" t="s">
        <v>158</v>
      </c>
      <c r="P323" s="43" t="s">
        <v>158</v>
      </c>
    </row>
    <row r="324" s="11" customFormat="1" spans="1:16">
      <c r="A324" s="32" t="s">
        <v>250</v>
      </c>
      <c r="B324" s="28" t="s">
        <v>239</v>
      </c>
      <c r="C324" s="28" t="s">
        <v>240</v>
      </c>
      <c r="D324" s="33" t="str">
        <f>+IFERROR(VLOOKUP(C324,Data,4,FALSE),"Not in data")</f>
        <v>S</v>
      </c>
      <c r="E324" s="34" t="s">
        <v>149</v>
      </c>
      <c r="F324" s="30">
        <v>1</v>
      </c>
      <c r="G324" s="30">
        <v>1</v>
      </c>
      <c r="H324" s="31">
        <v>9.7</v>
      </c>
      <c r="I324" s="40">
        <f t="shared" si="45"/>
        <v>9.7</v>
      </c>
      <c r="J324" s="31">
        <f>+IFERROR(VLOOKUP(C324,Data,2,FALSE),"Not in weight table")</f>
        <v>44.7</v>
      </c>
      <c r="K324" s="31">
        <f>+IFERROR(VLOOKUP(C324,Data,3,FALSE),"Not in weight table")</f>
        <v>1.36</v>
      </c>
      <c r="L324" s="44">
        <f t="shared" si="46"/>
        <v>0.43359</v>
      </c>
      <c r="M324" s="42">
        <f t="shared" si="47"/>
        <v>13.192</v>
      </c>
      <c r="N324" s="43" t="s">
        <v>158</v>
      </c>
      <c r="O324" s="43" t="s">
        <v>158</v>
      </c>
      <c r="P324" s="43" t="s">
        <v>158</v>
      </c>
    </row>
    <row r="325" s="11" customFormat="1" spans="1:16">
      <c r="A325" s="32" t="s">
        <v>250</v>
      </c>
      <c r="B325" s="28" t="s">
        <v>257</v>
      </c>
      <c r="C325" s="28" t="s">
        <v>234</v>
      </c>
      <c r="D325" s="33" t="str">
        <f>+IFERROR(VLOOKUP(C325,Data,4,FALSE),"Not in data")</f>
        <v>S</v>
      </c>
      <c r="E325" s="34" t="s">
        <v>149</v>
      </c>
      <c r="F325" s="30">
        <v>1</v>
      </c>
      <c r="G325" s="30">
        <v>2</v>
      </c>
      <c r="H325" s="31">
        <v>9.7</v>
      </c>
      <c r="I325" s="40">
        <f t="shared" si="45"/>
        <v>19.4</v>
      </c>
      <c r="J325" s="31">
        <f>+IFERROR(VLOOKUP(C325,Data,2,FALSE),"Not in weight table")</f>
        <v>35.5</v>
      </c>
      <c r="K325" s="31">
        <f>+IFERROR(VLOOKUP(C325,Data,3,FALSE),"Not in weight table")</f>
        <v>0.822</v>
      </c>
      <c r="L325" s="44">
        <f t="shared" si="46"/>
        <v>0.6887</v>
      </c>
      <c r="M325" s="42">
        <f t="shared" si="47"/>
        <v>15.9468</v>
      </c>
      <c r="N325" s="43" t="s">
        <v>158</v>
      </c>
      <c r="O325" s="43" t="s">
        <v>158</v>
      </c>
      <c r="P325" s="43" t="s">
        <v>158</v>
      </c>
    </row>
    <row r="326" s="11" customFormat="1" spans="1:16">
      <c r="A326" s="32" t="s">
        <v>250</v>
      </c>
      <c r="B326" s="28" t="s">
        <v>256</v>
      </c>
      <c r="C326" s="28" t="s">
        <v>234</v>
      </c>
      <c r="D326" s="33" t="str">
        <f>+IFERROR(VLOOKUP(C326,Data,4,FALSE),"Not in data")</f>
        <v>S</v>
      </c>
      <c r="E326" s="34" t="s">
        <v>149</v>
      </c>
      <c r="F326" s="30">
        <v>1</v>
      </c>
      <c r="G326" s="30">
        <v>1</v>
      </c>
      <c r="H326" s="31">
        <v>2.8</v>
      </c>
      <c r="I326" s="40">
        <f t="shared" si="45"/>
        <v>2.8</v>
      </c>
      <c r="J326" s="31">
        <f>+IFERROR(VLOOKUP(C326,Data,2,FALSE),"Not in weight table")</f>
        <v>35.5</v>
      </c>
      <c r="K326" s="31">
        <f>+IFERROR(VLOOKUP(C326,Data,3,FALSE),"Not in weight table")</f>
        <v>0.822</v>
      </c>
      <c r="L326" s="44">
        <f t="shared" si="46"/>
        <v>0.0994</v>
      </c>
      <c r="M326" s="42">
        <f t="shared" si="47"/>
        <v>2.3016</v>
      </c>
      <c r="N326" s="43" t="s">
        <v>158</v>
      </c>
      <c r="O326" s="43" t="s">
        <v>158</v>
      </c>
      <c r="P326" s="43" t="s">
        <v>158</v>
      </c>
    </row>
    <row r="327" s="11" customFormat="1" spans="1:16">
      <c r="A327" s="32" t="s">
        <v>250</v>
      </c>
      <c r="B327" s="28" t="s">
        <v>239</v>
      </c>
      <c r="C327" s="28" t="s">
        <v>240</v>
      </c>
      <c r="D327" s="33" t="str">
        <f>+IFERROR(VLOOKUP(C327,Data,4,FALSE),"Not in data")</f>
        <v>S</v>
      </c>
      <c r="E327" s="34" t="s">
        <v>149</v>
      </c>
      <c r="F327" s="30">
        <v>1</v>
      </c>
      <c r="G327" s="30">
        <v>1</v>
      </c>
      <c r="H327" s="31">
        <v>4.1</v>
      </c>
      <c r="I327" s="40">
        <f t="shared" si="45"/>
        <v>4.1</v>
      </c>
      <c r="J327" s="31">
        <f>+IFERROR(VLOOKUP(C327,Data,2,FALSE),"Not in weight table")</f>
        <v>44.7</v>
      </c>
      <c r="K327" s="31">
        <f>+IFERROR(VLOOKUP(C327,Data,3,FALSE),"Not in weight table")</f>
        <v>1.36</v>
      </c>
      <c r="L327" s="44">
        <f t="shared" si="46"/>
        <v>0.18327</v>
      </c>
      <c r="M327" s="42">
        <f t="shared" si="47"/>
        <v>5.576</v>
      </c>
      <c r="N327" s="43" t="s">
        <v>158</v>
      </c>
      <c r="O327" s="43" t="s">
        <v>158</v>
      </c>
      <c r="P327" s="43" t="s">
        <v>158</v>
      </c>
    </row>
    <row r="328" s="11" customFormat="1" spans="1:16">
      <c r="A328" s="32" t="s">
        <v>250</v>
      </c>
      <c r="B328" s="28" t="s">
        <v>188</v>
      </c>
      <c r="C328" s="28" t="s">
        <v>189</v>
      </c>
      <c r="D328" s="33" t="str">
        <f>+IFERROR(VLOOKUP(C328,Data,4,FALSE),"Not in data")</f>
        <v>S</v>
      </c>
      <c r="E328" s="34" t="s">
        <v>149</v>
      </c>
      <c r="F328" s="30">
        <v>1</v>
      </c>
      <c r="G328" s="30">
        <v>1</v>
      </c>
      <c r="H328" s="31">
        <v>3.1</v>
      </c>
      <c r="I328" s="40">
        <f t="shared" si="45"/>
        <v>3.1</v>
      </c>
      <c r="J328" s="31">
        <f>+IFERROR(VLOOKUP(C328,Data,2,FALSE),"Not in weight table")</f>
        <v>22.9</v>
      </c>
      <c r="K328" s="31">
        <f>+IFERROR(VLOOKUP(C328,Data,3,FALSE),"Not in weight table")</f>
        <v>0.668</v>
      </c>
      <c r="L328" s="44">
        <f t="shared" si="46"/>
        <v>0.07099</v>
      </c>
      <c r="M328" s="42">
        <f t="shared" si="47"/>
        <v>2.0708</v>
      </c>
      <c r="N328" s="43" t="s">
        <v>158</v>
      </c>
      <c r="O328" s="43" t="s">
        <v>158</v>
      </c>
      <c r="P328" s="43" t="s">
        <v>158</v>
      </c>
    </row>
    <row r="329" s="11" customFormat="1" spans="1:16">
      <c r="A329" s="32" t="s">
        <v>250</v>
      </c>
      <c r="B329" s="28" t="s">
        <v>206</v>
      </c>
      <c r="C329" s="28" t="s">
        <v>207</v>
      </c>
      <c r="D329" s="33" t="str">
        <f>+IFERROR(VLOOKUP(C329,Data,4,FALSE),"Not in data")</f>
        <v>S</v>
      </c>
      <c r="E329" s="34" t="s">
        <v>149</v>
      </c>
      <c r="F329" s="30">
        <v>1</v>
      </c>
      <c r="G329" s="30">
        <v>2</v>
      </c>
      <c r="H329" s="31">
        <v>10</v>
      </c>
      <c r="I329" s="40">
        <f t="shared" si="45"/>
        <v>20</v>
      </c>
      <c r="J329" s="31">
        <f>+IFERROR(VLOOKUP(C329,Data,2,FALSE),"Not in weight table")</f>
        <v>4.56</v>
      </c>
      <c r="K329" s="31">
        <f>+IFERROR(VLOOKUP(C329,Data,3,FALSE),"Not in weight table")</f>
        <v>0.255</v>
      </c>
      <c r="L329" s="44">
        <f t="shared" si="46"/>
        <v>0.0912</v>
      </c>
      <c r="M329" s="42">
        <f t="shared" si="47"/>
        <v>5.1</v>
      </c>
      <c r="N329" s="43" t="s">
        <v>158</v>
      </c>
      <c r="O329" s="43" t="s">
        <v>158</v>
      </c>
      <c r="P329" s="43" t="s">
        <v>158</v>
      </c>
    </row>
    <row r="330" s="11" customFormat="1" spans="1:16">
      <c r="A330" s="32" t="s">
        <v>250</v>
      </c>
      <c r="B330" s="28" t="s">
        <v>257</v>
      </c>
      <c r="C330" s="28" t="s">
        <v>234</v>
      </c>
      <c r="D330" s="33" t="str">
        <f>+IFERROR(VLOOKUP(C330,Data,4,FALSE),"Not in data")</f>
        <v>S</v>
      </c>
      <c r="E330" s="34" t="s">
        <v>149</v>
      </c>
      <c r="F330" s="30">
        <v>1</v>
      </c>
      <c r="G330" s="30">
        <v>1</v>
      </c>
      <c r="H330" s="31">
        <v>3.8</v>
      </c>
      <c r="I330" s="40">
        <f t="shared" si="45"/>
        <v>3.8</v>
      </c>
      <c r="J330" s="31">
        <f>+IFERROR(VLOOKUP(C330,Data,2,FALSE),"Not in weight table")</f>
        <v>35.5</v>
      </c>
      <c r="K330" s="31">
        <f>+IFERROR(VLOOKUP(C330,Data,3,FALSE),"Not in weight table")</f>
        <v>0.822</v>
      </c>
      <c r="L330" s="44">
        <f t="shared" si="46"/>
        <v>0.1349</v>
      </c>
      <c r="M330" s="42">
        <f t="shared" si="47"/>
        <v>3.1236</v>
      </c>
      <c r="N330" s="43" t="s">
        <v>158</v>
      </c>
      <c r="O330" s="43" t="s">
        <v>158</v>
      </c>
      <c r="P330" s="43" t="s">
        <v>158</v>
      </c>
    </row>
    <row r="331" s="11" customFormat="1" spans="1:16">
      <c r="A331" s="32" t="s">
        <v>250</v>
      </c>
      <c r="B331" s="28" t="s">
        <v>199</v>
      </c>
      <c r="C331" s="28" t="s">
        <v>200</v>
      </c>
      <c r="D331" s="33" t="str">
        <f>+IFERROR(VLOOKUP(C331,Data,4,FALSE),"Not in data")</f>
        <v>Not in data</v>
      </c>
      <c r="E331" s="34" t="s">
        <v>149</v>
      </c>
      <c r="F331" s="30">
        <v>1</v>
      </c>
      <c r="G331" s="30">
        <v>1</v>
      </c>
      <c r="H331" s="31">
        <v>3.9</v>
      </c>
      <c r="I331" s="40">
        <f t="shared" si="45"/>
        <v>3.9</v>
      </c>
      <c r="J331" s="31" t="str">
        <f>+IFERROR(VLOOKUP(C331,Data,2,FALSE),"Not in weight table")</f>
        <v>Not in weight table</v>
      </c>
      <c r="K331" s="31" t="str">
        <f>+IFERROR(VLOOKUP(C331,Data,3,FALSE),"Not in weight table")</f>
        <v>Not in weight table</v>
      </c>
      <c r="L331" s="44">
        <f t="shared" si="46"/>
        <v>0</v>
      </c>
      <c r="M331" s="42">
        <f t="shared" si="47"/>
        <v>0</v>
      </c>
      <c r="N331" s="43" t="s">
        <v>158</v>
      </c>
      <c r="O331" s="43" t="s">
        <v>158</v>
      </c>
      <c r="P331" s="43" t="s">
        <v>158</v>
      </c>
    </row>
    <row r="332" s="11" customFormat="1" spans="1:16">
      <c r="A332" s="32" t="s">
        <v>250</v>
      </c>
      <c r="B332" s="28" t="s">
        <v>206</v>
      </c>
      <c r="C332" s="28" t="s">
        <v>207</v>
      </c>
      <c r="D332" s="33" t="str">
        <f>+IFERROR(VLOOKUP(C332,Data,4,FALSE),"Not in data")</f>
        <v>S</v>
      </c>
      <c r="E332" s="34" t="s">
        <v>149</v>
      </c>
      <c r="F332" s="30">
        <v>1</v>
      </c>
      <c r="G332" s="30">
        <v>2</v>
      </c>
      <c r="H332" s="31">
        <v>7.4</v>
      </c>
      <c r="I332" s="40">
        <f t="shared" si="45"/>
        <v>14.8</v>
      </c>
      <c r="J332" s="31">
        <f>+IFERROR(VLOOKUP(C332,Data,2,FALSE),"Not in weight table")</f>
        <v>4.56</v>
      </c>
      <c r="K332" s="31">
        <f>+IFERROR(VLOOKUP(C332,Data,3,FALSE),"Not in weight table")</f>
        <v>0.255</v>
      </c>
      <c r="L332" s="44">
        <f t="shared" si="46"/>
        <v>0.067488</v>
      </c>
      <c r="M332" s="42">
        <f t="shared" si="47"/>
        <v>3.774</v>
      </c>
      <c r="N332" s="43" t="s">
        <v>158</v>
      </c>
      <c r="O332" s="43" t="s">
        <v>158</v>
      </c>
      <c r="P332" s="43" t="s">
        <v>158</v>
      </c>
    </row>
    <row r="333" s="11" customFormat="1" spans="1:16">
      <c r="A333" s="32" t="s">
        <v>250</v>
      </c>
      <c r="B333" s="28" t="s">
        <v>199</v>
      </c>
      <c r="C333" s="28" t="s">
        <v>200</v>
      </c>
      <c r="D333" s="33" t="str">
        <f>+IFERROR(VLOOKUP(C333,Data,4,FALSE),"Not in data")</f>
        <v>Not in data</v>
      </c>
      <c r="E333" s="34" t="s">
        <v>149</v>
      </c>
      <c r="F333" s="30">
        <v>1</v>
      </c>
      <c r="G333" s="30">
        <v>1</v>
      </c>
      <c r="H333" s="31">
        <v>6.2</v>
      </c>
      <c r="I333" s="40">
        <f t="shared" si="45"/>
        <v>6.2</v>
      </c>
      <c r="J333" s="31" t="str">
        <f>+IFERROR(VLOOKUP(C333,Data,2,FALSE),"Not in weight table")</f>
        <v>Not in weight table</v>
      </c>
      <c r="K333" s="31" t="str">
        <f>+IFERROR(VLOOKUP(C333,Data,3,FALSE),"Not in weight table")</f>
        <v>Not in weight table</v>
      </c>
      <c r="L333" s="44">
        <f t="shared" si="46"/>
        <v>0</v>
      </c>
      <c r="M333" s="42">
        <f t="shared" si="47"/>
        <v>0</v>
      </c>
      <c r="N333" s="43" t="s">
        <v>158</v>
      </c>
      <c r="O333" s="43" t="s">
        <v>158</v>
      </c>
      <c r="P333" s="43" t="s">
        <v>158</v>
      </c>
    </row>
    <row r="334" s="11" customFormat="1" spans="1:16">
      <c r="A334" s="32" t="s">
        <v>250</v>
      </c>
      <c r="B334" s="28" t="s">
        <v>239</v>
      </c>
      <c r="C334" s="28" t="s">
        <v>240</v>
      </c>
      <c r="D334" s="33" t="str">
        <f>+IFERROR(VLOOKUP(C334,Data,4,FALSE),"Not in data")</f>
        <v>S</v>
      </c>
      <c r="E334" s="34" t="s">
        <v>149</v>
      </c>
      <c r="F334" s="30">
        <v>1</v>
      </c>
      <c r="G334" s="30">
        <v>1</v>
      </c>
      <c r="H334" s="31">
        <v>9.8</v>
      </c>
      <c r="I334" s="40">
        <f t="shared" si="45"/>
        <v>9.8</v>
      </c>
      <c r="J334" s="31">
        <f>+IFERROR(VLOOKUP(C334,Data,2,FALSE),"Not in weight table")</f>
        <v>44.7</v>
      </c>
      <c r="K334" s="31">
        <f>+IFERROR(VLOOKUP(C334,Data,3,FALSE),"Not in weight table")</f>
        <v>1.36</v>
      </c>
      <c r="L334" s="44">
        <f t="shared" si="46"/>
        <v>0.43806</v>
      </c>
      <c r="M334" s="42">
        <f t="shared" si="47"/>
        <v>13.328</v>
      </c>
      <c r="N334" s="43" t="s">
        <v>158</v>
      </c>
      <c r="O334" s="43" t="s">
        <v>158</v>
      </c>
      <c r="P334" s="43" t="s">
        <v>158</v>
      </c>
    </row>
    <row r="335" s="11" customFormat="1" spans="1:16">
      <c r="A335" s="32" t="s">
        <v>250</v>
      </c>
      <c r="B335" s="28" t="s">
        <v>239</v>
      </c>
      <c r="C335" s="28" t="s">
        <v>240</v>
      </c>
      <c r="D335" s="33" t="str">
        <f>+IFERROR(VLOOKUP(C335,Data,4,FALSE),"Not in data")</f>
        <v>S</v>
      </c>
      <c r="E335" s="34" t="s">
        <v>149</v>
      </c>
      <c r="F335" s="30">
        <v>1</v>
      </c>
      <c r="G335" s="30">
        <v>1</v>
      </c>
      <c r="H335" s="31">
        <v>4.2</v>
      </c>
      <c r="I335" s="40">
        <f t="shared" si="45"/>
        <v>4.2</v>
      </c>
      <c r="J335" s="31">
        <f>+IFERROR(VLOOKUP(C335,Data,2,FALSE),"Not in weight table")</f>
        <v>44.7</v>
      </c>
      <c r="K335" s="31">
        <f>+IFERROR(VLOOKUP(C335,Data,3,FALSE),"Not in weight table")</f>
        <v>1.36</v>
      </c>
      <c r="L335" s="44">
        <f t="shared" si="46"/>
        <v>0.18774</v>
      </c>
      <c r="M335" s="42">
        <f t="shared" si="47"/>
        <v>5.712</v>
      </c>
      <c r="N335" s="43" t="s">
        <v>158</v>
      </c>
      <c r="O335" s="43" t="s">
        <v>158</v>
      </c>
      <c r="P335" s="43" t="s">
        <v>158</v>
      </c>
    </row>
    <row r="336" s="11" customFormat="1" spans="1:16">
      <c r="A336" s="32" t="s">
        <v>250</v>
      </c>
      <c r="B336" s="28" t="s">
        <v>256</v>
      </c>
      <c r="C336" s="28" t="s">
        <v>234</v>
      </c>
      <c r="D336" s="33" t="str">
        <f>+IFERROR(VLOOKUP(C336,Data,4,FALSE),"Not in data")</f>
        <v>S</v>
      </c>
      <c r="E336" s="34" t="s">
        <v>149</v>
      </c>
      <c r="F336" s="30">
        <v>1</v>
      </c>
      <c r="G336" s="30">
        <v>2</v>
      </c>
      <c r="H336" s="31">
        <v>2.8</v>
      </c>
      <c r="I336" s="40">
        <f t="shared" si="45"/>
        <v>5.6</v>
      </c>
      <c r="J336" s="31">
        <f>+IFERROR(VLOOKUP(C336,Data,2,FALSE),"Not in weight table")</f>
        <v>35.5</v>
      </c>
      <c r="K336" s="31">
        <f>+IFERROR(VLOOKUP(C336,Data,3,FALSE),"Not in weight table")</f>
        <v>0.822</v>
      </c>
      <c r="L336" s="44">
        <f t="shared" si="46"/>
        <v>0.1988</v>
      </c>
      <c r="M336" s="42">
        <f t="shared" si="47"/>
        <v>4.6032</v>
      </c>
      <c r="N336" s="43" t="s">
        <v>158</v>
      </c>
      <c r="O336" s="43" t="s">
        <v>158</v>
      </c>
      <c r="P336" s="43" t="s">
        <v>158</v>
      </c>
    </row>
    <row r="337" s="11" customFormat="1" spans="1:16">
      <c r="A337" s="32" t="s">
        <v>250</v>
      </c>
      <c r="B337" s="28" t="s">
        <v>188</v>
      </c>
      <c r="C337" s="28" t="s">
        <v>189</v>
      </c>
      <c r="D337" s="33" t="str">
        <f>+IFERROR(VLOOKUP(C337,Data,4,FALSE),"Not in data")</f>
        <v>S</v>
      </c>
      <c r="E337" s="34" t="s">
        <v>149</v>
      </c>
      <c r="F337" s="30">
        <v>1</v>
      </c>
      <c r="G337" s="30">
        <v>1</v>
      </c>
      <c r="H337" s="31">
        <v>3.1</v>
      </c>
      <c r="I337" s="40">
        <f t="shared" si="45"/>
        <v>3.1</v>
      </c>
      <c r="J337" s="31">
        <f>+IFERROR(VLOOKUP(C337,Data,2,FALSE),"Not in weight table")</f>
        <v>22.9</v>
      </c>
      <c r="K337" s="31">
        <f>+IFERROR(VLOOKUP(C337,Data,3,FALSE),"Not in weight table")</f>
        <v>0.668</v>
      </c>
      <c r="L337" s="44">
        <f t="shared" si="46"/>
        <v>0.07099</v>
      </c>
      <c r="M337" s="42">
        <f t="shared" si="47"/>
        <v>2.0708</v>
      </c>
      <c r="N337" s="43" t="s">
        <v>158</v>
      </c>
      <c r="O337" s="43" t="s">
        <v>158</v>
      </c>
      <c r="P337" s="43" t="s">
        <v>158</v>
      </c>
    </row>
    <row r="338" s="11" customFormat="1" spans="1:16">
      <c r="A338" s="32" t="s">
        <v>250</v>
      </c>
      <c r="B338" s="28" t="s">
        <v>206</v>
      </c>
      <c r="C338" s="28" t="s">
        <v>207</v>
      </c>
      <c r="D338" s="33" t="str">
        <f>+IFERROR(VLOOKUP(C338,Data,4,FALSE),"Not in data")</f>
        <v>S</v>
      </c>
      <c r="E338" s="34" t="s">
        <v>149</v>
      </c>
      <c r="F338" s="30">
        <v>1</v>
      </c>
      <c r="G338" s="30">
        <v>1</v>
      </c>
      <c r="H338" s="31">
        <v>7.7</v>
      </c>
      <c r="I338" s="40">
        <f t="shared" si="45"/>
        <v>7.7</v>
      </c>
      <c r="J338" s="31">
        <f>+IFERROR(VLOOKUP(C338,Data,2,FALSE),"Not in weight table")</f>
        <v>4.56</v>
      </c>
      <c r="K338" s="31">
        <f>+IFERROR(VLOOKUP(C338,Data,3,FALSE),"Not in weight table")</f>
        <v>0.255</v>
      </c>
      <c r="L338" s="44">
        <f t="shared" si="46"/>
        <v>0.035112</v>
      </c>
      <c r="M338" s="42">
        <f t="shared" si="47"/>
        <v>1.9635</v>
      </c>
      <c r="N338" s="43" t="s">
        <v>158</v>
      </c>
      <c r="O338" s="43" t="s">
        <v>158</v>
      </c>
      <c r="P338" s="43" t="s">
        <v>158</v>
      </c>
    </row>
    <row r="339" s="11" customFormat="1" spans="1:16">
      <c r="A339" s="32" t="s">
        <v>250</v>
      </c>
      <c r="B339" s="28" t="s">
        <v>206</v>
      </c>
      <c r="C339" s="28" t="s">
        <v>207</v>
      </c>
      <c r="D339" s="33" t="str">
        <f>+IFERROR(VLOOKUP(C339,Data,4,FALSE),"Not in data")</f>
        <v>S</v>
      </c>
      <c r="E339" s="34" t="s">
        <v>149</v>
      </c>
      <c r="F339" s="30">
        <v>1</v>
      </c>
      <c r="G339" s="30">
        <v>1</v>
      </c>
      <c r="H339" s="31">
        <v>10.6</v>
      </c>
      <c r="I339" s="40">
        <f t="shared" si="45"/>
        <v>10.6</v>
      </c>
      <c r="J339" s="31">
        <f>+IFERROR(VLOOKUP(C339,Data,2,FALSE),"Not in weight table")</f>
        <v>4.56</v>
      </c>
      <c r="K339" s="31">
        <f>+IFERROR(VLOOKUP(C339,Data,3,FALSE),"Not in weight table")</f>
        <v>0.255</v>
      </c>
      <c r="L339" s="44">
        <f t="shared" si="46"/>
        <v>0.048336</v>
      </c>
      <c r="M339" s="42">
        <f t="shared" si="47"/>
        <v>2.703</v>
      </c>
      <c r="N339" s="43" t="s">
        <v>158</v>
      </c>
      <c r="O339" s="43" t="s">
        <v>158</v>
      </c>
      <c r="P339" s="43" t="s">
        <v>158</v>
      </c>
    </row>
    <row r="340" s="11" customFormat="1" spans="1:16">
      <c r="A340" s="32" t="s">
        <v>250</v>
      </c>
      <c r="B340" s="28" t="s">
        <v>206</v>
      </c>
      <c r="C340" s="28" t="s">
        <v>207</v>
      </c>
      <c r="D340" s="33" t="str">
        <f>+IFERROR(VLOOKUP(C340,Data,4,FALSE),"Not in data")</f>
        <v>S</v>
      </c>
      <c r="E340" s="34" t="s">
        <v>149</v>
      </c>
      <c r="F340" s="30">
        <v>1</v>
      </c>
      <c r="G340" s="30">
        <v>1</v>
      </c>
      <c r="H340" s="31">
        <v>6.1</v>
      </c>
      <c r="I340" s="40">
        <f t="shared" si="45"/>
        <v>6.1</v>
      </c>
      <c r="J340" s="31">
        <f>+IFERROR(VLOOKUP(C340,Data,2,FALSE),"Not in weight table")</f>
        <v>4.56</v>
      </c>
      <c r="K340" s="31">
        <f>+IFERROR(VLOOKUP(C340,Data,3,FALSE),"Not in weight table")</f>
        <v>0.255</v>
      </c>
      <c r="L340" s="44">
        <f t="shared" si="46"/>
        <v>0.027816</v>
      </c>
      <c r="M340" s="42">
        <f t="shared" si="47"/>
        <v>1.5555</v>
      </c>
      <c r="N340" s="43" t="s">
        <v>158</v>
      </c>
      <c r="O340" s="43" t="s">
        <v>158</v>
      </c>
      <c r="P340" s="43" t="s">
        <v>158</v>
      </c>
    </row>
    <row r="341" s="11" customFormat="1" spans="1:16">
      <c r="A341" s="32" t="s">
        <v>250</v>
      </c>
      <c r="B341" s="28" t="s">
        <v>199</v>
      </c>
      <c r="C341" s="28" t="s">
        <v>200</v>
      </c>
      <c r="D341" s="33" t="str">
        <f>+IFERROR(VLOOKUP(C341,Data,4,FALSE),"Not in data")</f>
        <v>Not in data</v>
      </c>
      <c r="E341" s="34" t="s">
        <v>149</v>
      </c>
      <c r="F341" s="30">
        <v>1</v>
      </c>
      <c r="G341" s="30">
        <v>1</v>
      </c>
      <c r="H341" s="31">
        <v>1.9</v>
      </c>
      <c r="I341" s="40">
        <f t="shared" si="45"/>
        <v>1.9</v>
      </c>
      <c r="J341" s="31" t="str">
        <f>+IFERROR(VLOOKUP(C341,Data,2,FALSE),"Not in weight table")</f>
        <v>Not in weight table</v>
      </c>
      <c r="K341" s="31" t="str">
        <f>+IFERROR(VLOOKUP(C341,Data,3,FALSE),"Not in weight table")</f>
        <v>Not in weight table</v>
      </c>
      <c r="L341" s="44">
        <f t="shared" si="46"/>
        <v>0</v>
      </c>
      <c r="M341" s="42">
        <f t="shared" si="47"/>
        <v>0</v>
      </c>
      <c r="N341" s="43" t="s">
        <v>158</v>
      </c>
      <c r="O341" s="43" t="s">
        <v>158</v>
      </c>
      <c r="P341" s="43" t="s">
        <v>158</v>
      </c>
    </row>
    <row r="342" s="11" customFormat="1" spans="1:16">
      <c r="A342" s="32" t="s">
        <v>250</v>
      </c>
      <c r="B342" s="28" t="s">
        <v>199</v>
      </c>
      <c r="C342" s="28" t="s">
        <v>200</v>
      </c>
      <c r="D342" s="33" t="str">
        <f>+IFERROR(VLOOKUP(C342,Data,4,FALSE),"Not in data")</f>
        <v>Not in data</v>
      </c>
      <c r="E342" s="34" t="s">
        <v>149</v>
      </c>
      <c r="F342" s="30">
        <v>1</v>
      </c>
      <c r="G342" s="30">
        <v>1</v>
      </c>
      <c r="H342" s="31">
        <v>6.1</v>
      </c>
      <c r="I342" s="40">
        <f t="shared" si="45"/>
        <v>6.1</v>
      </c>
      <c r="J342" s="31" t="str">
        <f>+IFERROR(VLOOKUP(C342,Data,2,FALSE),"Not in weight table")</f>
        <v>Not in weight table</v>
      </c>
      <c r="K342" s="31" t="str">
        <f>+IFERROR(VLOOKUP(C342,Data,3,FALSE),"Not in weight table")</f>
        <v>Not in weight table</v>
      </c>
      <c r="L342" s="44">
        <f t="shared" si="46"/>
        <v>0</v>
      </c>
      <c r="M342" s="42">
        <f t="shared" si="47"/>
        <v>0</v>
      </c>
      <c r="N342" s="43" t="s">
        <v>158</v>
      </c>
      <c r="O342" s="43" t="s">
        <v>158</v>
      </c>
      <c r="P342" s="43" t="s">
        <v>158</v>
      </c>
    </row>
    <row r="343" s="11" customFormat="1" spans="1:16">
      <c r="A343" s="32" t="s">
        <v>250</v>
      </c>
      <c r="B343" s="28" t="s">
        <v>208</v>
      </c>
      <c r="C343" s="28" t="s">
        <v>235</v>
      </c>
      <c r="D343" s="33" t="str">
        <f>+IFERROR(VLOOKUP(C343,Data,4,FALSE),"Not in data")</f>
        <v>S</v>
      </c>
      <c r="E343" s="34" t="s">
        <v>149</v>
      </c>
      <c r="F343" s="30">
        <v>1</v>
      </c>
      <c r="G343" s="30">
        <v>1</v>
      </c>
      <c r="H343" s="31">
        <v>16.8</v>
      </c>
      <c r="I343" s="40">
        <f t="shared" si="45"/>
        <v>16.8</v>
      </c>
      <c r="J343" s="31">
        <f>+IFERROR(VLOOKUP(C343,Data,2,FALSE),"Not in weight table")</f>
        <v>25.7</v>
      </c>
      <c r="K343" s="31">
        <f>+IFERROR(VLOOKUP(C343,Data,3,FALSE),"Not in weight table")</f>
        <v>0.961</v>
      </c>
      <c r="L343" s="44">
        <f t="shared" si="46"/>
        <v>0.43176</v>
      </c>
      <c r="M343" s="42">
        <f t="shared" si="47"/>
        <v>16.1448</v>
      </c>
      <c r="N343" s="43" t="s">
        <v>158</v>
      </c>
      <c r="O343" s="43" t="s">
        <v>158</v>
      </c>
      <c r="P343" s="43" t="s">
        <v>158</v>
      </c>
    </row>
    <row r="344" s="11" customFormat="1" spans="1:16">
      <c r="A344" s="32" t="s">
        <v>250</v>
      </c>
      <c r="B344" s="28" t="s">
        <v>188</v>
      </c>
      <c r="C344" s="28" t="s">
        <v>189</v>
      </c>
      <c r="D344" s="33" t="str">
        <f>+IFERROR(VLOOKUP(C344,Data,4,FALSE),"Not in data")</f>
        <v>S</v>
      </c>
      <c r="E344" s="34" t="s">
        <v>149</v>
      </c>
      <c r="F344" s="30">
        <v>1</v>
      </c>
      <c r="G344" s="30">
        <v>2</v>
      </c>
      <c r="H344" s="31">
        <v>3.1</v>
      </c>
      <c r="I344" s="40">
        <f t="shared" si="45"/>
        <v>6.2</v>
      </c>
      <c r="J344" s="31">
        <f>+IFERROR(VLOOKUP(C344,Data,2,FALSE),"Not in weight table")</f>
        <v>22.9</v>
      </c>
      <c r="K344" s="31">
        <f>+IFERROR(VLOOKUP(C344,Data,3,FALSE),"Not in weight table")</f>
        <v>0.668</v>
      </c>
      <c r="L344" s="44">
        <f t="shared" si="46"/>
        <v>0.14198</v>
      </c>
      <c r="M344" s="42">
        <f t="shared" si="47"/>
        <v>4.1416</v>
      </c>
      <c r="N344" s="43" t="s">
        <v>158</v>
      </c>
      <c r="O344" s="43" t="s">
        <v>158</v>
      </c>
      <c r="P344" s="43" t="s">
        <v>158</v>
      </c>
    </row>
    <row r="345" s="11" customFormat="1" spans="1:16">
      <c r="A345" s="32" t="s">
        <v>250</v>
      </c>
      <c r="B345" s="28" t="s">
        <v>193</v>
      </c>
      <c r="C345" s="28" t="s">
        <v>194</v>
      </c>
      <c r="D345" s="33" t="str">
        <f>+IFERROR(VLOOKUP(C345,Data,4,FALSE),"Not in data")</f>
        <v>T</v>
      </c>
      <c r="E345" s="34" t="s">
        <v>149</v>
      </c>
      <c r="F345" s="30">
        <v>1</v>
      </c>
      <c r="G345" s="30">
        <v>1</v>
      </c>
      <c r="H345" s="31">
        <v>6.2</v>
      </c>
      <c r="I345" s="40">
        <f t="shared" si="45"/>
        <v>6.2</v>
      </c>
      <c r="J345" s="31">
        <f>+IFERROR(VLOOKUP(C345,Data,2,FALSE),"Not in weight table")</f>
        <v>17.9</v>
      </c>
      <c r="K345" s="31">
        <f>+IFERROR(VLOOKUP(C345,Data,3,FALSE),"Not in weight table")</f>
        <v>0.583</v>
      </c>
      <c r="L345" s="44">
        <f t="shared" si="46"/>
        <v>0.11098</v>
      </c>
      <c r="M345" s="42">
        <f t="shared" si="47"/>
        <v>3.6146</v>
      </c>
      <c r="N345" s="43" t="s">
        <v>158</v>
      </c>
      <c r="O345" s="43" t="s">
        <v>158</v>
      </c>
      <c r="P345" s="43" t="s">
        <v>158</v>
      </c>
    </row>
    <row r="346" s="11" customFormat="1" spans="1:16">
      <c r="A346" s="32" t="s">
        <v>250</v>
      </c>
      <c r="B346" s="28" t="s">
        <v>197</v>
      </c>
      <c r="C346" s="28" t="s">
        <v>198</v>
      </c>
      <c r="D346" s="33" t="str">
        <f>+IFERROR(VLOOKUP(C346,Data,4,FALSE),"Not in data")</f>
        <v>S</v>
      </c>
      <c r="E346" s="34" t="s">
        <v>149</v>
      </c>
      <c r="F346" s="30">
        <v>1</v>
      </c>
      <c r="G346" s="30">
        <v>18</v>
      </c>
      <c r="H346" s="31">
        <v>1.5</v>
      </c>
      <c r="I346" s="40">
        <f t="shared" si="45"/>
        <v>27</v>
      </c>
      <c r="J346" s="31">
        <f>+IFERROR(VLOOKUP(C346,Data,2,FALSE),"Not in weight table")</f>
        <v>8.73</v>
      </c>
      <c r="K346" s="31">
        <f>+IFERROR(VLOOKUP(C346,Data,3,FALSE),"Not in weight table")</f>
        <v>0.292</v>
      </c>
      <c r="L346" s="44">
        <f t="shared" si="46"/>
        <v>0.23571</v>
      </c>
      <c r="M346" s="42">
        <f t="shared" si="47"/>
        <v>7.884</v>
      </c>
      <c r="N346" s="43" t="s">
        <v>158</v>
      </c>
      <c r="O346" s="43" t="s">
        <v>158</v>
      </c>
      <c r="P346" s="43" t="s">
        <v>158</v>
      </c>
    </row>
    <row r="347" s="11" customFormat="1" spans="1:16">
      <c r="A347" s="32" t="s">
        <v>250</v>
      </c>
      <c r="B347" s="28" t="s">
        <v>220</v>
      </c>
      <c r="C347" s="28" t="s">
        <v>219</v>
      </c>
      <c r="D347" s="33" t="str">
        <f>+IFERROR(VLOOKUP(C347,Data,4,FALSE),"Not in data")</f>
        <v>Not in data</v>
      </c>
      <c r="E347" s="34" t="s">
        <v>148</v>
      </c>
      <c r="F347" s="30">
        <v>1</v>
      </c>
      <c r="G347" s="30">
        <f t="shared" ref="G347:G357" si="48">11.7/0.9</f>
        <v>13</v>
      </c>
      <c r="H347" s="31">
        <v>5.55</v>
      </c>
      <c r="I347" s="40">
        <f t="shared" si="45"/>
        <v>72.15</v>
      </c>
      <c r="J347" s="31" t="str">
        <f>+IFERROR(VLOOKUP(C347,Data,2,FALSE),"Not in weight table")</f>
        <v>Not in weight table</v>
      </c>
      <c r="K347" s="31" t="str">
        <f>+IFERROR(VLOOKUP(C347,Data,3,FALSE),"Not in weight table")</f>
        <v>Not in weight table</v>
      </c>
      <c r="L347" s="44">
        <f t="shared" si="46"/>
        <v>0</v>
      </c>
      <c r="M347" s="42">
        <f t="shared" si="47"/>
        <v>0</v>
      </c>
      <c r="N347" s="43" t="s">
        <v>158</v>
      </c>
      <c r="O347" s="43" t="s">
        <v>158</v>
      </c>
      <c r="P347" s="43" t="s">
        <v>158</v>
      </c>
    </row>
    <row r="348" s="11" customFormat="1" spans="1:16">
      <c r="A348" s="32" t="s">
        <v>250</v>
      </c>
      <c r="B348" s="28" t="s">
        <v>220</v>
      </c>
      <c r="C348" s="28" t="s">
        <v>219</v>
      </c>
      <c r="D348" s="33" t="str">
        <f>+IFERROR(VLOOKUP(C348,Data,4,FALSE),"Not in data")</f>
        <v>Not in data</v>
      </c>
      <c r="E348" s="34" t="s">
        <v>148</v>
      </c>
      <c r="F348" s="30">
        <v>1</v>
      </c>
      <c r="G348" s="30">
        <f t="shared" si="48"/>
        <v>13</v>
      </c>
      <c r="H348" s="31">
        <v>4.41</v>
      </c>
      <c r="I348" s="40">
        <f t="shared" si="45"/>
        <v>57.33</v>
      </c>
      <c r="J348" s="31" t="str">
        <f>+IFERROR(VLOOKUP(C348,Data,2,FALSE),"Not in weight table")</f>
        <v>Not in weight table</v>
      </c>
      <c r="K348" s="31" t="str">
        <f>+IFERROR(VLOOKUP(C348,Data,3,FALSE),"Not in weight table")</f>
        <v>Not in weight table</v>
      </c>
      <c r="L348" s="44">
        <f t="shared" si="46"/>
        <v>0</v>
      </c>
      <c r="M348" s="42">
        <f t="shared" si="47"/>
        <v>0</v>
      </c>
      <c r="N348" s="43" t="s">
        <v>158</v>
      </c>
      <c r="O348" s="43" t="s">
        <v>158</v>
      </c>
      <c r="P348" s="43" t="s">
        <v>158</v>
      </c>
    </row>
    <row r="349" s="11" customFormat="1" spans="1:16">
      <c r="A349" s="32" t="s">
        <v>250</v>
      </c>
      <c r="B349" s="28" t="s">
        <v>220</v>
      </c>
      <c r="C349" s="28" t="s">
        <v>219</v>
      </c>
      <c r="D349" s="33" t="str">
        <f>+IFERROR(VLOOKUP(C349,Data,4,FALSE),"Not in data")</f>
        <v>Not in data</v>
      </c>
      <c r="E349" s="34" t="s">
        <v>148</v>
      </c>
      <c r="F349" s="30">
        <v>1</v>
      </c>
      <c r="G349" s="30">
        <f t="shared" si="48"/>
        <v>13</v>
      </c>
      <c r="H349" s="31">
        <v>6</v>
      </c>
      <c r="I349" s="40">
        <f t="shared" si="45"/>
        <v>78</v>
      </c>
      <c r="J349" s="31" t="str">
        <f>+IFERROR(VLOOKUP(C349,Data,2,FALSE),"Not in weight table")</f>
        <v>Not in weight table</v>
      </c>
      <c r="K349" s="31" t="str">
        <f>+IFERROR(VLOOKUP(C349,Data,3,FALSE),"Not in weight table")</f>
        <v>Not in weight table</v>
      </c>
      <c r="L349" s="44">
        <f t="shared" si="46"/>
        <v>0</v>
      </c>
      <c r="M349" s="42">
        <f t="shared" si="47"/>
        <v>0</v>
      </c>
      <c r="N349" s="43" t="s">
        <v>158</v>
      </c>
      <c r="O349" s="43" t="s">
        <v>158</v>
      </c>
      <c r="P349" s="43" t="s">
        <v>158</v>
      </c>
    </row>
    <row r="350" s="11" customFormat="1" spans="1:16">
      <c r="A350" s="32" t="s">
        <v>250</v>
      </c>
      <c r="B350" s="28" t="s">
        <v>220</v>
      </c>
      <c r="C350" s="28" t="s">
        <v>219</v>
      </c>
      <c r="D350" s="33" t="str">
        <f>+IFERROR(VLOOKUP(C350,Data,4,FALSE),"Not in data")</f>
        <v>Not in data</v>
      </c>
      <c r="E350" s="34" t="s">
        <v>148</v>
      </c>
      <c r="F350" s="30">
        <v>1</v>
      </c>
      <c r="G350" s="30">
        <f t="shared" si="48"/>
        <v>13</v>
      </c>
      <c r="H350" s="31">
        <v>4.23</v>
      </c>
      <c r="I350" s="40">
        <f t="shared" si="45"/>
        <v>54.99</v>
      </c>
      <c r="J350" s="31" t="str">
        <f>+IFERROR(VLOOKUP(C350,Data,2,FALSE),"Not in weight table")</f>
        <v>Not in weight table</v>
      </c>
      <c r="K350" s="31" t="str">
        <f>+IFERROR(VLOOKUP(C350,Data,3,FALSE),"Not in weight table")</f>
        <v>Not in weight table</v>
      </c>
      <c r="L350" s="44">
        <f t="shared" si="46"/>
        <v>0</v>
      </c>
      <c r="M350" s="42">
        <f t="shared" si="47"/>
        <v>0</v>
      </c>
      <c r="N350" s="43" t="s">
        <v>158</v>
      </c>
      <c r="O350" s="43" t="s">
        <v>158</v>
      </c>
      <c r="P350" s="43" t="s">
        <v>158</v>
      </c>
    </row>
    <row r="351" s="11" customFormat="1" spans="1:16">
      <c r="A351" s="32" t="s">
        <v>250</v>
      </c>
      <c r="B351" s="28" t="s">
        <v>220</v>
      </c>
      <c r="C351" s="28" t="s">
        <v>219</v>
      </c>
      <c r="D351" s="33" t="str">
        <f>+IFERROR(VLOOKUP(C351,Data,4,FALSE),"Not in data")</f>
        <v>Not in data</v>
      </c>
      <c r="E351" s="34" t="s">
        <v>148</v>
      </c>
      <c r="F351" s="30">
        <v>1</v>
      </c>
      <c r="G351" s="30">
        <f t="shared" si="48"/>
        <v>13</v>
      </c>
      <c r="H351" s="31">
        <v>7.95</v>
      </c>
      <c r="I351" s="40">
        <f t="shared" si="45"/>
        <v>103.35</v>
      </c>
      <c r="J351" s="31" t="str">
        <f>+IFERROR(VLOOKUP(C351,Data,2,FALSE),"Not in weight table")</f>
        <v>Not in weight table</v>
      </c>
      <c r="K351" s="31" t="str">
        <f>+IFERROR(VLOOKUP(C351,Data,3,FALSE),"Not in weight table")</f>
        <v>Not in weight table</v>
      </c>
      <c r="L351" s="44">
        <f t="shared" si="46"/>
        <v>0</v>
      </c>
      <c r="M351" s="42">
        <f t="shared" si="47"/>
        <v>0</v>
      </c>
      <c r="N351" s="43" t="s">
        <v>158</v>
      </c>
      <c r="O351" s="43" t="s">
        <v>158</v>
      </c>
      <c r="P351" s="43" t="s">
        <v>158</v>
      </c>
    </row>
    <row r="352" s="11" customFormat="1" spans="1:16">
      <c r="A352" s="32" t="s">
        <v>250</v>
      </c>
      <c r="B352" s="28" t="s">
        <v>220</v>
      </c>
      <c r="C352" s="28" t="s">
        <v>219</v>
      </c>
      <c r="D352" s="33" t="str">
        <f>+IFERROR(VLOOKUP(C352,Data,4,FALSE),"Not in data")</f>
        <v>Not in data</v>
      </c>
      <c r="E352" s="34" t="s">
        <v>148</v>
      </c>
      <c r="F352" s="30">
        <v>1</v>
      </c>
      <c r="G352" s="30">
        <f t="shared" si="48"/>
        <v>13</v>
      </c>
      <c r="H352" s="31">
        <v>8.9</v>
      </c>
      <c r="I352" s="40">
        <f t="shared" si="45"/>
        <v>115.7</v>
      </c>
      <c r="J352" s="31" t="str">
        <f>+IFERROR(VLOOKUP(C352,Data,2,FALSE),"Not in weight table")</f>
        <v>Not in weight table</v>
      </c>
      <c r="K352" s="31" t="str">
        <f>+IFERROR(VLOOKUP(C352,Data,3,FALSE),"Not in weight table")</f>
        <v>Not in weight table</v>
      </c>
      <c r="L352" s="44">
        <f t="shared" si="46"/>
        <v>0</v>
      </c>
      <c r="M352" s="42">
        <f t="shared" si="47"/>
        <v>0</v>
      </c>
      <c r="N352" s="43" t="s">
        <v>158</v>
      </c>
      <c r="O352" s="43" t="s">
        <v>158</v>
      </c>
      <c r="P352" s="43" t="s">
        <v>158</v>
      </c>
    </row>
    <row r="353" s="11" customFormat="1" spans="1:16">
      <c r="A353" s="32" t="s">
        <v>250</v>
      </c>
      <c r="B353" s="28" t="s">
        <v>220</v>
      </c>
      <c r="C353" s="28" t="s">
        <v>219</v>
      </c>
      <c r="D353" s="33" t="str">
        <f>+IFERROR(VLOOKUP(C353,Data,4,FALSE),"Not in data")</f>
        <v>Not in data</v>
      </c>
      <c r="E353" s="34" t="s">
        <v>148</v>
      </c>
      <c r="F353" s="30">
        <v>1</v>
      </c>
      <c r="G353" s="30">
        <f t="shared" si="48"/>
        <v>13</v>
      </c>
      <c r="H353" s="31">
        <v>4.4</v>
      </c>
      <c r="I353" s="40">
        <f t="shared" si="45"/>
        <v>57.2</v>
      </c>
      <c r="J353" s="31" t="str">
        <f>+IFERROR(VLOOKUP(C353,Data,2,FALSE),"Not in weight table")</f>
        <v>Not in weight table</v>
      </c>
      <c r="K353" s="31" t="str">
        <f>+IFERROR(VLOOKUP(C353,Data,3,FALSE),"Not in weight table")</f>
        <v>Not in weight table</v>
      </c>
      <c r="L353" s="44">
        <f t="shared" si="46"/>
        <v>0</v>
      </c>
      <c r="M353" s="42">
        <f t="shared" si="47"/>
        <v>0</v>
      </c>
      <c r="N353" s="43" t="s">
        <v>158</v>
      </c>
      <c r="O353" s="43" t="s">
        <v>158</v>
      </c>
      <c r="P353" s="43" t="s">
        <v>158</v>
      </c>
    </row>
    <row r="354" s="11" customFormat="1" spans="1:16">
      <c r="A354" s="32" t="s">
        <v>250</v>
      </c>
      <c r="B354" s="28" t="s">
        <v>220</v>
      </c>
      <c r="C354" s="28" t="s">
        <v>219</v>
      </c>
      <c r="D354" s="33" t="str">
        <f>+IFERROR(VLOOKUP(C354,Data,4,FALSE),"Not in data")</f>
        <v>Not in data</v>
      </c>
      <c r="E354" s="34" t="s">
        <v>148</v>
      </c>
      <c r="F354" s="30">
        <v>1</v>
      </c>
      <c r="G354" s="30">
        <f t="shared" si="48"/>
        <v>13</v>
      </c>
      <c r="H354" s="31">
        <v>3.8</v>
      </c>
      <c r="I354" s="40">
        <f t="shared" si="45"/>
        <v>49.4</v>
      </c>
      <c r="J354" s="31" t="str">
        <f>+IFERROR(VLOOKUP(C354,Data,2,FALSE),"Not in weight table")</f>
        <v>Not in weight table</v>
      </c>
      <c r="K354" s="31" t="str">
        <f>+IFERROR(VLOOKUP(C354,Data,3,FALSE),"Not in weight table")</f>
        <v>Not in weight table</v>
      </c>
      <c r="L354" s="44">
        <f t="shared" si="46"/>
        <v>0</v>
      </c>
      <c r="M354" s="42">
        <f t="shared" si="47"/>
        <v>0</v>
      </c>
      <c r="N354" s="43" t="s">
        <v>158</v>
      </c>
      <c r="O354" s="43" t="s">
        <v>158</v>
      </c>
      <c r="P354" s="43" t="s">
        <v>158</v>
      </c>
    </row>
    <row r="355" s="11" customFormat="1" spans="1:16">
      <c r="A355" s="32" t="s">
        <v>250</v>
      </c>
      <c r="B355" s="28" t="s">
        <v>220</v>
      </c>
      <c r="C355" s="28" t="s">
        <v>219</v>
      </c>
      <c r="D355" s="33" t="str">
        <f>+IFERROR(VLOOKUP(C355,Data,4,FALSE),"Not in data")</f>
        <v>Not in data</v>
      </c>
      <c r="E355" s="34" t="s">
        <v>148</v>
      </c>
      <c r="F355" s="30">
        <v>1</v>
      </c>
      <c r="G355" s="30">
        <f t="shared" si="48"/>
        <v>13</v>
      </c>
      <c r="H355" s="31">
        <v>4.7</v>
      </c>
      <c r="I355" s="40">
        <f t="shared" ref="I355:I418" si="49">+IF(F355&lt;&gt;"",F355*G355*H355,0)</f>
        <v>61.1</v>
      </c>
      <c r="J355" s="31" t="str">
        <f>+IFERROR(VLOOKUP(C355,Data,2,FALSE),"Not in weight table")</f>
        <v>Not in weight table</v>
      </c>
      <c r="K355" s="31" t="str">
        <f>+IFERROR(VLOOKUP(C355,Data,3,FALSE),"Not in weight table")</f>
        <v>Not in weight table</v>
      </c>
      <c r="L355" s="44">
        <f t="shared" ref="L355:L418" si="50">+IF(ISNUMBER(J355),I355*J355/1000,0)</f>
        <v>0</v>
      </c>
      <c r="M355" s="42">
        <f t="shared" ref="M355:M418" si="51">+IF(ISNUMBER(K355),I355*K355,0)</f>
        <v>0</v>
      </c>
      <c r="N355" s="43" t="s">
        <v>158</v>
      </c>
      <c r="O355" s="43" t="s">
        <v>158</v>
      </c>
      <c r="P355" s="43" t="s">
        <v>158</v>
      </c>
    </row>
    <row r="356" s="11" customFormat="1" spans="1:16">
      <c r="A356" s="32" t="s">
        <v>250</v>
      </c>
      <c r="B356" s="28" t="s">
        <v>220</v>
      </c>
      <c r="C356" s="28" t="s">
        <v>219</v>
      </c>
      <c r="D356" s="33" t="str">
        <f>+IFERROR(VLOOKUP(C356,Data,4,FALSE),"Not in data")</f>
        <v>Not in data</v>
      </c>
      <c r="E356" s="34" t="s">
        <v>148</v>
      </c>
      <c r="F356" s="30">
        <v>1</v>
      </c>
      <c r="G356" s="30">
        <f t="shared" si="48"/>
        <v>13</v>
      </c>
      <c r="H356" s="31">
        <v>9.91</v>
      </c>
      <c r="I356" s="40">
        <f t="shared" si="49"/>
        <v>128.83</v>
      </c>
      <c r="J356" s="31" t="str">
        <f>+IFERROR(VLOOKUP(C356,Data,2,FALSE),"Not in weight table")</f>
        <v>Not in weight table</v>
      </c>
      <c r="K356" s="31" t="str">
        <f>+IFERROR(VLOOKUP(C356,Data,3,FALSE),"Not in weight table")</f>
        <v>Not in weight table</v>
      </c>
      <c r="L356" s="44">
        <f t="shared" si="50"/>
        <v>0</v>
      </c>
      <c r="M356" s="42">
        <f t="shared" si="51"/>
        <v>0</v>
      </c>
      <c r="N356" s="43" t="s">
        <v>158</v>
      </c>
      <c r="O356" s="43" t="s">
        <v>158</v>
      </c>
      <c r="P356" s="43" t="s">
        <v>158</v>
      </c>
    </row>
    <row r="357" s="11" customFormat="1" spans="1:16">
      <c r="A357" s="32" t="s">
        <v>250</v>
      </c>
      <c r="B357" s="28" t="s">
        <v>218</v>
      </c>
      <c r="C357" s="28" t="s">
        <v>219</v>
      </c>
      <c r="D357" s="33" t="str">
        <f>+IFERROR(VLOOKUP(C357,Data,4,FALSE),"Not in data")</f>
        <v>Not in data</v>
      </c>
      <c r="E357" s="34" t="s">
        <v>148</v>
      </c>
      <c r="F357" s="30">
        <v>1</v>
      </c>
      <c r="G357" s="30">
        <v>20</v>
      </c>
      <c r="H357" s="31">
        <v>5.55</v>
      </c>
      <c r="I357" s="40">
        <f t="shared" si="49"/>
        <v>111</v>
      </c>
      <c r="J357" s="31" t="str">
        <f>+IFERROR(VLOOKUP(C357,Data,2,FALSE),"Not in weight table")</f>
        <v>Not in weight table</v>
      </c>
      <c r="K357" s="31" t="str">
        <f>+IFERROR(VLOOKUP(C357,Data,3,FALSE),"Not in weight table")</f>
        <v>Not in weight table</v>
      </c>
      <c r="L357" s="44">
        <f t="shared" si="50"/>
        <v>0</v>
      </c>
      <c r="M357" s="42">
        <f t="shared" si="51"/>
        <v>0</v>
      </c>
      <c r="N357" s="43" t="s">
        <v>158</v>
      </c>
      <c r="O357" s="43" t="s">
        <v>158</v>
      </c>
      <c r="P357" s="43" t="s">
        <v>158</v>
      </c>
    </row>
    <row r="358" s="11" customFormat="1" spans="1:16">
      <c r="A358" s="32" t="s">
        <v>250</v>
      </c>
      <c r="B358" s="28" t="s">
        <v>218</v>
      </c>
      <c r="C358" s="28" t="s">
        <v>219</v>
      </c>
      <c r="D358" s="33" t="str">
        <f>+IFERROR(VLOOKUP(C358,Data,4,FALSE),"Not in data")</f>
        <v>Not in data</v>
      </c>
      <c r="E358" s="34" t="s">
        <v>148</v>
      </c>
      <c r="F358" s="30">
        <v>1</v>
      </c>
      <c r="G358" s="30">
        <v>20</v>
      </c>
      <c r="H358" s="31">
        <v>4.41</v>
      </c>
      <c r="I358" s="40">
        <f t="shared" si="49"/>
        <v>88.2</v>
      </c>
      <c r="J358" s="31" t="str">
        <f>+IFERROR(VLOOKUP(C358,Data,2,FALSE),"Not in weight table")</f>
        <v>Not in weight table</v>
      </c>
      <c r="K358" s="31" t="str">
        <f>+IFERROR(VLOOKUP(C358,Data,3,FALSE),"Not in weight table")</f>
        <v>Not in weight table</v>
      </c>
      <c r="L358" s="44">
        <f t="shared" si="50"/>
        <v>0</v>
      </c>
      <c r="M358" s="42">
        <f t="shared" si="51"/>
        <v>0</v>
      </c>
      <c r="N358" s="43" t="s">
        <v>158</v>
      </c>
      <c r="O358" s="43" t="s">
        <v>158</v>
      </c>
      <c r="P358" s="43" t="s">
        <v>158</v>
      </c>
    </row>
    <row r="359" s="11" customFormat="1" spans="1:16">
      <c r="A359" s="32" t="s">
        <v>250</v>
      </c>
      <c r="B359" s="28" t="s">
        <v>218</v>
      </c>
      <c r="C359" s="28" t="s">
        <v>219</v>
      </c>
      <c r="D359" s="33" t="str">
        <f>+IFERROR(VLOOKUP(C359,Data,4,FALSE),"Not in data")</f>
        <v>Not in data</v>
      </c>
      <c r="E359" s="34" t="s">
        <v>148</v>
      </c>
      <c r="F359" s="30">
        <v>1</v>
      </c>
      <c r="G359" s="30">
        <v>20</v>
      </c>
      <c r="H359" s="31">
        <v>6</v>
      </c>
      <c r="I359" s="40">
        <f t="shared" si="49"/>
        <v>120</v>
      </c>
      <c r="J359" s="31" t="str">
        <f>+IFERROR(VLOOKUP(C359,Data,2,FALSE),"Not in weight table")</f>
        <v>Not in weight table</v>
      </c>
      <c r="K359" s="31" t="str">
        <f>+IFERROR(VLOOKUP(C359,Data,3,FALSE),"Not in weight table")</f>
        <v>Not in weight table</v>
      </c>
      <c r="L359" s="44">
        <f t="shared" si="50"/>
        <v>0</v>
      </c>
      <c r="M359" s="42">
        <f t="shared" si="51"/>
        <v>0</v>
      </c>
      <c r="N359" s="43" t="s">
        <v>158</v>
      </c>
      <c r="O359" s="43" t="s">
        <v>158</v>
      </c>
      <c r="P359" s="43" t="s">
        <v>158</v>
      </c>
    </row>
    <row r="360" s="11" customFormat="1" spans="1:16">
      <c r="A360" s="32" t="s">
        <v>250</v>
      </c>
      <c r="B360" s="28" t="s">
        <v>218</v>
      </c>
      <c r="C360" s="28" t="s">
        <v>219</v>
      </c>
      <c r="D360" s="33" t="str">
        <f>+IFERROR(VLOOKUP(C360,Data,4,FALSE),"Not in data")</f>
        <v>Not in data</v>
      </c>
      <c r="E360" s="34" t="s">
        <v>148</v>
      </c>
      <c r="F360" s="30">
        <v>1</v>
      </c>
      <c r="G360" s="30">
        <v>20</v>
      </c>
      <c r="H360" s="31">
        <v>4.23</v>
      </c>
      <c r="I360" s="40">
        <f t="shared" si="49"/>
        <v>84.6</v>
      </c>
      <c r="J360" s="31" t="str">
        <f>+IFERROR(VLOOKUP(C360,Data,2,FALSE),"Not in weight table")</f>
        <v>Not in weight table</v>
      </c>
      <c r="K360" s="31" t="str">
        <f>+IFERROR(VLOOKUP(C360,Data,3,FALSE),"Not in weight table")</f>
        <v>Not in weight table</v>
      </c>
      <c r="L360" s="44">
        <f t="shared" si="50"/>
        <v>0</v>
      </c>
      <c r="M360" s="42">
        <f t="shared" si="51"/>
        <v>0</v>
      </c>
      <c r="N360" s="43" t="s">
        <v>158</v>
      </c>
      <c r="O360" s="43" t="s">
        <v>158</v>
      </c>
      <c r="P360" s="43" t="s">
        <v>158</v>
      </c>
    </row>
    <row r="361" s="11" customFormat="1" spans="1:16">
      <c r="A361" s="32" t="s">
        <v>250</v>
      </c>
      <c r="B361" s="28" t="s">
        <v>218</v>
      </c>
      <c r="C361" s="28" t="s">
        <v>219</v>
      </c>
      <c r="D361" s="33" t="str">
        <f>+IFERROR(VLOOKUP(C361,Data,4,FALSE),"Not in data")</f>
        <v>Not in data</v>
      </c>
      <c r="E361" s="34" t="s">
        <v>148</v>
      </c>
      <c r="F361" s="30">
        <v>1</v>
      </c>
      <c r="G361" s="30">
        <v>20</v>
      </c>
      <c r="H361" s="31">
        <v>7.95</v>
      </c>
      <c r="I361" s="40">
        <f t="shared" si="49"/>
        <v>159</v>
      </c>
      <c r="J361" s="31" t="str">
        <f>+IFERROR(VLOOKUP(C361,Data,2,FALSE),"Not in weight table")</f>
        <v>Not in weight table</v>
      </c>
      <c r="K361" s="31" t="str">
        <f>+IFERROR(VLOOKUP(C361,Data,3,FALSE),"Not in weight table")</f>
        <v>Not in weight table</v>
      </c>
      <c r="L361" s="44">
        <f t="shared" si="50"/>
        <v>0</v>
      </c>
      <c r="M361" s="42">
        <f t="shared" si="51"/>
        <v>0</v>
      </c>
      <c r="N361" s="43" t="s">
        <v>158</v>
      </c>
      <c r="O361" s="43" t="s">
        <v>158</v>
      </c>
      <c r="P361" s="43" t="s">
        <v>158</v>
      </c>
    </row>
    <row r="362" s="11" customFormat="1" spans="1:16">
      <c r="A362" s="32" t="s">
        <v>250</v>
      </c>
      <c r="B362" s="28" t="s">
        <v>218</v>
      </c>
      <c r="C362" s="28" t="s">
        <v>219</v>
      </c>
      <c r="D362" s="33" t="str">
        <f>+IFERROR(VLOOKUP(C362,Data,4,FALSE),"Not in data")</f>
        <v>Not in data</v>
      </c>
      <c r="E362" s="34" t="s">
        <v>148</v>
      </c>
      <c r="F362" s="30">
        <v>1</v>
      </c>
      <c r="G362" s="30">
        <v>20</v>
      </c>
      <c r="H362" s="31">
        <v>8.9</v>
      </c>
      <c r="I362" s="40">
        <f t="shared" si="49"/>
        <v>178</v>
      </c>
      <c r="J362" s="31" t="str">
        <f>+IFERROR(VLOOKUP(C362,Data,2,FALSE),"Not in weight table")</f>
        <v>Not in weight table</v>
      </c>
      <c r="K362" s="31" t="str">
        <f>+IFERROR(VLOOKUP(C362,Data,3,FALSE),"Not in weight table")</f>
        <v>Not in weight table</v>
      </c>
      <c r="L362" s="44">
        <f t="shared" si="50"/>
        <v>0</v>
      </c>
      <c r="M362" s="42">
        <f t="shared" si="51"/>
        <v>0</v>
      </c>
      <c r="N362" s="43" t="s">
        <v>158</v>
      </c>
      <c r="O362" s="43" t="s">
        <v>158</v>
      </c>
      <c r="P362" s="43" t="s">
        <v>158</v>
      </c>
    </row>
    <row r="363" s="11" customFormat="1" spans="1:16">
      <c r="A363" s="32" t="s">
        <v>250</v>
      </c>
      <c r="B363" s="28" t="s">
        <v>218</v>
      </c>
      <c r="C363" s="28" t="s">
        <v>219</v>
      </c>
      <c r="D363" s="33" t="str">
        <f>+IFERROR(VLOOKUP(C363,Data,4,FALSE),"Not in data")</f>
        <v>Not in data</v>
      </c>
      <c r="E363" s="34" t="s">
        <v>148</v>
      </c>
      <c r="F363" s="30">
        <v>1</v>
      </c>
      <c r="G363" s="30">
        <v>20</v>
      </c>
      <c r="H363" s="31">
        <v>4.4</v>
      </c>
      <c r="I363" s="40">
        <f t="shared" si="49"/>
        <v>88</v>
      </c>
      <c r="J363" s="31" t="str">
        <f>+IFERROR(VLOOKUP(C363,Data,2,FALSE),"Not in weight table")</f>
        <v>Not in weight table</v>
      </c>
      <c r="K363" s="31" t="str">
        <f>+IFERROR(VLOOKUP(C363,Data,3,FALSE),"Not in weight table")</f>
        <v>Not in weight table</v>
      </c>
      <c r="L363" s="44">
        <f t="shared" si="50"/>
        <v>0</v>
      </c>
      <c r="M363" s="42">
        <f t="shared" si="51"/>
        <v>0</v>
      </c>
      <c r="N363" s="43" t="s">
        <v>158</v>
      </c>
      <c r="O363" s="43" t="s">
        <v>158</v>
      </c>
      <c r="P363" s="43" t="s">
        <v>158</v>
      </c>
    </row>
    <row r="364" s="11" customFormat="1" spans="1:16">
      <c r="A364" s="32" t="s">
        <v>250</v>
      </c>
      <c r="B364" s="28" t="s">
        <v>218</v>
      </c>
      <c r="C364" s="28" t="s">
        <v>219</v>
      </c>
      <c r="D364" s="33" t="str">
        <f>+IFERROR(VLOOKUP(C364,Data,4,FALSE),"Not in data")</f>
        <v>Not in data</v>
      </c>
      <c r="E364" s="34" t="s">
        <v>148</v>
      </c>
      <c r="F364" s="30">
        <v>1</v>
      </c>
      <c r="G364" s="30">
        <v>20</v>
      </c>
      <c r="H364" s="31">
        <v>3.8</v>
      </c>
      <c r="I364" s="40">
        <f t="shared" si="49"/>
        <v>76</v>
      </c>
      <c r="J364" s="31" t="str">
        <f>+IFERROR(VLOOKUP(C364,Data,2,FALSE),"Not in weight table")</f>
        <v>Not in weight table</v>
      </c>
      <c r="K364" s="31" t="str">
        <f>+IFERROR(VLOOKUP(C364,Data,3,FALSE),"Not in weight table")</f>
        <v>Not in weight table</v>
      </c>
      <c r="L364" s="44">
        <f t="shared" si="50"/>
        <v>0</v>
      </c>
      <c r="M364" s="42">
        <f t="shared" si="51"/>
        <v>0</v>
      </c>
      <c r="N364" s="43" t="s">
        <v>158</v>
      </c>
      <c r="O364" s="43" t="s">
        <v>158</v>
      </c>
      <c r="P364" s="43" t="s">
        <v>158</v>
      </c>
    </row>
    <row r="365" s="11" customFormat="1" spans="1:16">
      <c r="A365" s="32" t="s">
        <v>250</v>
      </c>
      <c r="B365" s="28" t="s">
        <v>218</v>
      </c>
      <c r="C365" s="28" t="s">
        <v>219</v>
      </c>
      <c r="D365" s="33" t="str">
        <f>+IFERROR(VLOOKUP(C365,Data,4,FALSE),"Not in data")</f>
        <v>Not in data</v>
      </c>
      <c r="E365" s="34" t="s">
        <v>148</v>
      </c>
      <c r="F365" s="30">
        <v>1</v>
      </c>
      <c r="G365" s="30">
        <v>20</v>
      </c>
      <c r="H365" s="31">
        <v>4.7</v>
      </c>
      <c r="I365" s="40">
        <f t="shared" si="49"/>
        <v>94</v>
      </c>
      <c r="J365" s="31" t="str">
        <f>+IFERROR(VLOOKUP(C365,Data,2,FALSE),"Not in weight table")</f>
        <v>Not in weight table</v>
      </c>
      <c r="K365" s="31" t="str">
        <f>+IFERROR(VLOOKUP(C365,Data,3,FALSE),"Not in weight table")</f>
        <v>Not in weight table</v>
      </c>
      <c r="L365" s="44">
        <f t="shared" si="50"/>
        <v>0</v>
      </c>
      <c r="M365" s="42">
        <f t="shared" si="51"/>
        <v>0</v>
      </c>
      <c r="N365" s="43" t="s">
        <v>158</v>
      </c>
      <c r="O365" s="43" t="s">
        <v>158</v>
      </c>
      <c r="P365" s="43" t="s">
        <v>158</v>
      </c>
    </row>
    <row r="366" s="11" customFormat="1" spans="1:16">
      <c r="A366" s="32" t="s">
        <v>250</v>
      </c>
      <c r="B366" s="28" t="s">
        <v>218</v>
      </c>
      <c r="C366" s="28" t="s">
        <v>219</v>
      </c>
      <c r="D366" s="33" t="str">
        <f>+IFERROR(VLOOKUP(C366,Data,4,FALSE),"Not in data")</f>
        <v>Not in data</v>
      </c>
      <c r="E366" s="34" t="s">
        <v>148</v>
      </c>
      <c r="F366" s="30">
        <v>1</v>
      </c>
      <c r="G366" s="30">
        <v>20</v>
      </c>
      <c r="H366" s="31">
        <v>9.91</v>
      </c>
      <c r="I366" s="40">
        <f t="shared" si="49"/>
        <v>198.2</v>
      </c>
      <c r="J366" s="31" t="str">
        <f>+IFERROR(VLOOKUP(C366,Data,2,FALSE),"Not in weight table")</f>
        <v>Not in weight table</v>
      </c>
      <c r="K366" s="31" t="str">
        <f>+IFERROR(VLOOKUP(C366,Data,3,FALSE),"Not in weight table")</f>
        <v>Not in weight table</v>
      </c>
      <c r="L366" s="44">
        <f t="shared" si="50"/>
        <v>0</v>
      </c>
      <c r="M366" s="42">
        <f t="shared" si="51"/>
        <v>0</v>
      </c>
      <c r="N366" s="43" t="s">
        <v>158</v>
      </c>
      <c r="O366" s="43" t="s">
        <v>158</v>
      </c>
      <c r="P366" s="43" t="s">
        <v>158</v>
      </c>
    </row>
    <row r="367" s="11" customFormat="1" spans="1:16">
      <c r="A367" s="32" t="s">
        <v>250</v>
      </c>
      <c r="B367" s="28" t="s">
        <v>220</v>
      </c>
      <c r="C367" s="28" t="s">
        <v>219</v>
      </c>
      <c r="D367" s="33" t="str">
        <f>+IFERROR(VLOOKUP(C367,Data,4,FALSE),"Not in data")</f>
        <v>Not in data</v>
      </c>
      <c r="E367" s="34" t="s">
        <v>148</v>
      </c>
      <c r="F367" s="30">
        <v>1</v>
      </c>
      <c r="G367" s="30">
        <v>9</v>
      </c>
      <c r="H367" s="31">
        <v>6.24</v>
      </c>
      <c r="I367" s="40">
        <f t="shared" si="49"/>
        <v>56.16</v>
      </c>
      <c r="J367" s="31" t="str">
        <f>+IFERROR(VLOOKUP(C367,Data,2,FALSE),"Not in weight table")</f>
        <v>Not in weight table</v>
      </c>
      <c r="K367" s="31" t="str">
        <f>+IFERROR(VLOOKUP(C367,Data,3,FALSE),"Not in weight table")</f>
        <v>Not in weight table</v>
      </c>
      <c r="L367" s="44">
        <f t="shared" si="50"/>
        <v>0</v>
      </c>
      <c r="M367" s="42">
        <f t="shared" si="51"/>
        <v>0</v>
      </c>
      <c r="N367" s="43" t="s">
        <v>158</v>
      </c>
      <c r="O367" s="43" t="s">
        <v>158</v>
      </c>
      <c r="P367" s="43" t="s">
        <v>158</v>
      </c>
    </row>
    <row r="368" s="11" customFormat="1" spans="1:16">
      <c r="A368" s="32" t="s">
        <v>250</v>
      </c>
      <c r="B368" s="28" t="s">
        <v>220</v>
      </c>
      <c r="C368" s="28" t="s">
        <v>219</v>
      </c>
      <c r="D368" s="33" t="str">
        <f>+IFERROR(VLOOKUP(C368,Data,4,FALSE),"Not in data")</f>
        <v>Not in data</v>
      </c>
      <c r="E368" s="34" t="s">
        <v>148</v>
      </c>
      <c r="F368" s="30">
        <v>1</v>
      </c>
      <c r="G368" s="30">
        <v>9</v>
      </c>
      <c r="H368" s="31">
        <v>6.24</v>
      </c>
      <c r="I368" s="40">
        <f t="shared" si="49"/>
        <v>56.16</v>
      </c>
      <c r="J368" s="31" t="str">
        <f>+IFERROR(VLOOKUP(C368,Data,2,FALSE),"Not in weight table")</f>
        <v>Not in weight table</v>
      </c>
      <c r="K368" s="31" t="str">
        <f>+IFERROR(VLOOKUP(C368,Data,3,FALSE),"Not in weight table")</f>
        <v>Not in weight table</v>
      </c>
      <c r="L368" s="44">
        <f t="shared" si="50"/>
        <v>0</v>
      </c>
      <c r="M368" s="42">
        <f t="shared" si="51"/>
        <v>0</v>
      </c>
      <c r="N368" s="43" t="s">
        <v>158</v>
      </c>
      <c r="O368" s="43" t="s">
        <v>158</v>
      </c>
      <c r="P368" s="43" t="s">
        <v>158</v>
      </c>
    </row>
    <row r="369" s="11" customFormat="1" spans="1:16">
      <c r="A369" s="32" t="s">
        <v>250</v>
      </c>
      <c r="B369" s="28" t="s">
        <v>258</v>
      </c>
      <c r="C369" s="28" t="s">
        <v>259</v>
      </c>
      <c r="D369" s="33" t="str">
        <f>+IFERROR(VLOOKUP(C369,Data,4,FALSE),"Not in data")</f>
        <v>Not in data</v>
      </c>
      <c r="E369" s="34" t="s">
        <v>149</v>
      </c>
      <c r="F369" s="30">
        <v>1</v>
      </c>
      <c r="G369" s="30">
        <v>5</v>
      </c>
      <c r="H369" s="31">
        <v>4.2</v>
      </c>
      <c r="I369" s="40">
        <f t="shared" si="49"/>
        <v>21</v>
      </c>
      <c r="J369" s="31" t="str">
        <f>+IFERROR(VLOOKUP(C369,Data,2,FALSE),"Not in weight table")</f>
        <v>Not in weight table</v>
      </c>
      <c r="K369" s="31" t="str">
        <f>+IFERROR(VLOOKUP(C369,Data,3,FALSE),"Not in weight table")</f>
        <v>Not in weight table</v>
      </c>
      <c r="L369" s="44">
        <f t="shared" si="50"/>
        <v>0</v>
      </c>
      <c r="M369" s="42">
        <f t="shared" si="51"/>
        <v>0</v>
      </c>
      <c r="N369" s="43" t="s">
        <v>158</v>
      </c>
      <c r="O369" s="43" t="s">
        <v>158</v>
      </c>
      <c r="P369" s="43" t="s">
        <v>158</v>
      </c>
    </row>
    <row r="370" s="11" customFormat="1" spans="1:16">
      <c r="A370" s="32" t="s">
        <v>250</v>
      </c>
      <c r="B370" s="28" t="s">
        <v>224</v>
      </c>
      <c r="C370" s="28" t="s">
        <v>259</v>
      </c>
      <c r="D370" s="33" t="str">
        <f>+IFERROR(VLOOKUP(C370,Data,4,FALSE),"Not in data")</f>
        <v>Not in data</v>
      </c>
      <c r="E370" s="34" t="s">
        <v>149</v>
      </c>
      <c r="F370" s="30">
        <v>1</v>
      </c>
      <c r="G370" s="30">
        <v>2</v>
      </c>
      <c r="H370" s="31">
        <v>5.4</v>
      </c>
      <c r="I370" s="40">
        <f t="shared" si="49"/>
        <v>10.8</v>
      </c>
      <c r="J370" s="31" t="str">
        <f>+IFERROR(VLOOKUP(C370,Data,2,FALSE),"Not in weight table")</f>
        <v>Not in weight table</v>
      </c>
      <c r="K370" s="31" t="str">
        <f>+IFERROR(VLOOKUP(C370,Data,3,FALSE),"Not in weight table")</f>
        <v>Not in weight table</v>
      </c>
      <c r="L370" s="44">
        <f t="shared" si="50"/>
        <v>0</v>
      </c>
      <c r="M370" s="42">
        <f t="shared" si="51"/>
        <v>0</v>
      </c>
      <c r="N370" s="43" t="s">
        <v>158</v>
      </c>
      <c r="O370" s="43" t="s">
        <v>158</v>
      </c>
      <c r="P370" s="43" t="s">
        <v>158</v>
      </c>
    </row>
    <row r="371" s="11" customFormat="1" spans="1:16">
      <c r="A371" s="32" t="s">
        <v>250</v>
      </c>
      <c r="B371" s="28" t="s">
        <v>205</v>
      </c>
      <c r="C371" s="28" t="s">
        <v>189</v>
      </c>
      <c r="D371" s="33" t="str">
        <f>+IFERROR(VLOOKUP(C371,Data,4,FALSE),"Not in data")</f>
        <v>S</v>
      </c>
      <c r="E371" s="34" t="s">
        <v>149</v>
      </c>
      <c r="F371" s="30">
        <v>1</v>
      </c>
      <c r="G371" s="30">
        <v>2</v>
      </c>
      <c r="H371" s="31">
        <v>5</v>
      </c>
      <c r="I371" s="40">
        <f t="shared" si="49"/>
        <v>10</v>
      </c>
      <c r="J371" s="31">
        <f>+IFERROR(VLOOKUP(C371,Data,2,FALSE),"Not in weight table")</f>
        <v>22.9</v>
      </c>
      <c r="K371" s="31">
        <f>+IFERROR(VLOOKUP(C371,Data,3,FALSE),"Not in weight table")</f>
        <v>0.668</v>
      </c>
      <c r="L371" s="44">
        <f t="shared" si="50"/>
        <v>0.229</v>
      </c>
      <c r="M371" s="42">
        <f t="shared" si="51"/>
        <v>6.68</v>
      </c>
      <c r="N371" s="43" t="s">
        <v>158</v>
      </c>
      <c r="O371" s="43" t="s">
        <v>158</v>
      </c>
      <c r="P371" s="43" t="s">
        <v>158</v>
      </c>
    </row>
    <row r="372" s="11" customFormat="1" spans="1:16">
      <c r="A372" s="32" t="s">
        <v>250</v>
      </c>
      <c r="B372" s="28" t="s">
        <v>196</v>
      </c>
      <c r="C372" s="28" t="s">
        <v>189</v>
      </c>
      <c r="D372" s="33" t="str">
        <f>+IFERROR(VLOOKUP(C372,Data,4,FALSE),"Not in data")</f>
        <v>S</v>
      </c>
      <c r="E372" s="34" t="s">
        <v>149</v>
      </c>
      <c r="F372" s="30">
        <v>1</v>
      </c>
      <c r="G372" s="30">
        <v>1</v>
      </c>
      <c r="H372" s="31">
        <v>7.4</v>
      </c>
      <c r="I372" s="40">
        <f t="shared" si="49"/>
        <v>7.4</v>
      </c>
      <c r="J372" s="31">
        <f>+IFERROR(VLOOKUP(C372,Data,2,FALSE),"Not in weight table")</f>
        <v>22.9</v>
      </c>
      <c r="K372" s="31">
        <f>+IFERROR(VLOOKUP(C372,Data,3,FALSE),"Not in weight table")</f>
        <v>0.668</v>
      </c>
      <c r="L372" s="44">
        <f t="shared" si="50"/>
        <v>0.16946</v>
      </c>
      <c r="M372" s="42">
        <f t="shared" si="51"/>
        <v>4.9432</v>
      </c>
      <c r="N372" s="43" t="s">
        <v>158</v>
      </c>
      <c r="O372" s="43" t="s">
        <v>158</v>
      </c>
      <c r="P372" s="43" t="s">
        <v>158</v>
      </c>
    </row>
    <row r="373" s="11" customFormat="1" spans="1:16">
      <c r="A373" s="32" t="s">
        <v>250</v>
      </c>
      <c r="B373" s="28" t="s">
        <v>220</v>
      </c>
      <c r="C373" s="28" t="s">
        <v>219</v>
      </c>
      <c r="D373" s="33" t="str">
        <f>+IFERROR(VLOOKUP(C373,Data,4,FALSE),"Not in data")</f>
        <v>Not in data</v>
      </c>
      <c r="E373" s="34" t="s">
        <v>148</v>
      </c>
      <c r="F373" s="30">
        <v>1</v>
      </c>
      <c r="G373" s="30">
        <v>5</v>
      </c>
      <c r="H373" s="31">
        <v>7.5</v>
      </c>
      <c r="I373" s="40">
        <f t="shared" si="49"/>
        <v>37.5</v>
      </c>
      <c r="J373" s="31" t="str">
        <f>+IFERROR(VLOOKUP(C373,Data,2,FALSE),"Not in weight table")</f>
        <v>Not in weight table</v>
      </c>
      <c r="K373" s="31" t="str">
        <f>+IFERROR(VLOOKUP(C373,Data,3,FALSE),"Not in weight table")</f>
        <v>Not in weight table</v>
      </c>
      <c r="L373" s="44">
        <f t="shared" si="50"/>
        <v>0</v>
      </c>
      <c r="M373" s="42">
        <f t="shared" si="51"/>
        <v>0</v>
      </c>
      <c r="N373" s="43" t="s">
        <v>158</v>
      </c>
      <c r="O373" s="43" t="s">
        <v>158</v>
      </c>
      <c r="P373" s="43" t="s">
        <v>158</v>
      </c>
    </row>
    <row r="374" s="11" customFormat="1" spans="1:16">
      <c r="A374" s="32" t="s">
        <v>250</v>
      </c>
      <c r="B374" s="28" t="s">
        <v>53</v>
      </c>
      <c r="C374" s="28" t="s">
        <v>219</v>
      </c>
      <c r="D374" s="33" t="str">
        <f>+IFERROR(VLOOKUP(C374,Data,4,FALSE),"Not in data")</f>
        <v>Not in data</v>
      </c>
      <c r="E374" s="34" t="s">
        <v>148</v>
      </c>
      <c r="F374" s="30">
        <v>1</v>
      </c>
      <c r="G374" s="30">
        <v>2</v>
      </c>
      <c r="H374" s="31">
        <v>4</v>
      </c>
      <c r="I374" s="40">
        <f t="shared" si="49"/>
        <v>8</v>
      </c>
      <c r="J374" s="31" t="str">
        <f>+IFERROR(VLOOKUP(C374,Data,2,FALSE),"Not in weight table")</f>
        <v>Not in weight table</v>
      </c>
      <c r="K374" s="31" t="str">
        <f>+IFERROR(VLOOKUP(C374,Data,3,FALSE),"Not in weight table")</f>
        <v>Not in weight table</v>
      </c>
      <c r="L374" s="44">
        <f t="shared" si="50"/>
        <v>0</v>
      </c>
      <c r="M374" s="42">
        <f t="shared" si="51"/>
        <v>0</v>
      </c>
      <c r="N374" s="43" t="s">
        <v>158</v>
      </c>
      <c r="O374" s="43" t="s">
        <v>158</v>
      </c>
      <c r="P374" s="43" t="s">
        <v>158</v>
      </c>
    </row>
    <row r="375" s="11" customFormat="1" spans="1:16">
      <c r="A375" s="32" t="s">
        <v>250</v>
      </c>
      <c r="B375" s="28" t="s">
        <v>184</v>
      </c>
      <c r="C375" s="28" t="s">
        <v>185</v>
      </c>
      <c r="D375" s="33" t="str">
        <f>+IFERROR(VLOOKUP(C375,Data,4,FALSE),"Not in data")</f>
        <v>Not in data</v>
      </c>
      <c r="E375" s="34" t="s">
        <v>149</v>
      </c>
      <c r="F375" s="30">
        <v>1</v>
      </c>
      <c r="G375" s="30">
        <v>2</v>
      </c>
      <c r="H375" s="31">
        <v>5.4</v>
      </c>
      <c r="I375" s="40">
        <f t="shared" si="49"/>
        <v>10.8</v>
      </c>
      <c r="J375" s="31" t="str">
        <f>+IFERROR(VLOOKUP(C375,Data,2,FALSE),"Not in weight table")</f>
        <v>Not in weight table</v>
      </c>
      <c r="K375" s="31" t="str">
        <f>+IFERROR(VLOOKUP(C375,Data,3,FALSE),"Not in weight table")</f>
        <v>Not in weight table</v>
      </c>
      <c r="L375" s="44">
        <f t="shared" si="50"/>
        <v>0</v>
      </c>
      <c r="M375" s="42">
        <f t="shared" si="51"/>
        <v>0</v>
      </c>
      <c r="N375" s="43" t="s">
        <v>158</v>
      </c>
      <c r="O375" s="43" t="s">
        <v>158</v>
      </c>
      <c r="P375" s="43" t="s">
        <v>158</v>
      </c>
    </row>
    <row r="376" s="11" customFormat="1" spans="1:16">
      <c r="A376" s="32" t="s">
        <v>250</v>
      </c>
      <c r="B376" s="28" t="s">
        <v>260</v>
      </c>
      <c r="C376" s="28" t="s">
        <v>261</v>
      </c>
      <c r="D376" s="33" t="str">
        <f>+IFERROR(VLOOKUP(C376,Data,4,FALSE),"Not in data")</f>
        <v>T250P</v>
      </c>
      <c r="E376" s="34" t="s">
        <v>149</v>
      </c>
      <c r="F376" s="30">
        <v>1</v>
      </c>
      <c r="G376" s="30">
        <v>1</v>
      </c>
      <c r="H376" s="31">
        <v>1.2</v>
      </c>
      <c r="I376" s="40">
        <f t="shared" si="49"/>
        <v>1.2</v>
      </c>
      <c r="J376" s="31">
        <f>+IFERROR(VLOOKUP(C376,Data,2,FALSE),"Not in weight table")</f>
        <v>35.6</v>
      </c>
      <c r="K376" s="31">
        <f>+IFERROR(VLOOKUP(C376,Data,3,FALSE),"Not in weight table")</f>
        <v>0.8</v>
      </c>
      <c r="L376" s="44">
        <f t="shared" si="50"/>
        <v>0.04272</v>
      </c>
      <c r="M376" s="42">
        <f t="shared" si="51"/>
        <v>0.96</v>
      </c>
      <c r="N376" s="43" t="s">
        <v>158</v>
      </c>
      <c r="O376" s="43" t="s">
        <v>158</v>
      </c>
      <c r="P376" s="43" t="s">
        <v>158</v>
      </c>
    </row>
    <row r="377" s="11" customFormat="1" spans="1:16">
      <c r="A377" s="32" t="s">
        <v>250</v>
      </c>
      <c r="B377" s="28" t="s">
        <v>260</v>
      </c>
      <c r="C377" s="28" t="s">
        <v>261</v>
      </c>
      <c r="D377" s="33" t="str">
        <f>+IFERROR(VLOOKUP(C377,Data,4,FALSE),"Not in data")</f>
        <v>T250P</v>
      </c>
      <c r="E377" s="34" t="s">
        <v>149</v>
      </c>
      <c r="F377" s="30">
        <v>1</v>
      </c>
      <c r="G377" s="30">
        <v>1</v>
      </c>
      <c r="H377" s="31">
        <v>7.7</v>
      </c>
      <c r="I377" s="40">
        <f t="shared" si="49"/>
        <v>7.7</v>
      </c>
      <c r="J377" s="31">
        <f>+IFERROR(VLOOKUP(C377,Data,2,FALSE),"Not in weight table")</f>
        <v>35.6</v>
      </c>
      <c r="K377" s="31">
        <f>+IFERROR(VLOOKUP(C377,Data,3,FALSE),"Not in weight table")</f>
        <v>0.8</v>
      </c>
      <c r="L377" s="44">
        <f t="shared" si="50"/>
        <v>0.27412</v>
      </c>
      <c r="M377" s="42">
        <f t="shared" si="51"/>
        <v>6.16</v>
      </c>
      <c r="N377" s="43" t="s">
        <v>158</v>
      </c>
      <c r="O377" s="43" t="s">
        <v>158</v>
      </c>
      <c r="P377" s="43" t="s">
        <v>158</v>
      </c>
    </row>
    <row r="378" s="11" customFormat="1" spans="1:16">
      <c r="A378" s="32" t="s">
        <v>250</v>
      </c>
      <c r="B378" s="28" t="s">
        <v>260</v>
      </c>
      <c r="C378" s="28" t="s">
        <v>261</v>
      </c>
      <c r="D378" s="33" t="str">
        <f>+IFERROR(VLOOKUP(C378,Data,4,FALSE),"Not in data")</f>
        <v>T250P</v>
      </c>
      <c r="E378" s="34" t="s">
        <v>149</v>
      </c>
      <c r="F378" s="30">
        <v>1</v>
      </c>
      <c r="G378" s="30">
        <v>1</v>
      </c>
      <c r="H378" s="31">
        <v>4</v>
      </c>
      <c r="I378" s="40">
        <f t="shared" si="49"/>
        <v>4</v>
      </c>
      <c r="J378" s="31">
        <f>+IFERROR(VLOOKUP(C378,Data,2,FALSE),"Not in weight table")</f>
        <v>35.6</v>
      </c>
      <c r="K378" s="31">
        <f>+IFERROR(VLOOKUP(C378,Data,3,FALSE),"Not in weight table")</f>
        <v>0.8</v>
      </c>
      <c r="L378" s="44">
        <f t="shared" si="50"/>
        <v>0.1424</v>
      </c>
      <c r="M378" s="42">
        <f t="shared" si="51"/>
        <v>3.2</v>
      </c>
      <c r="N378" s="43" t="s">
        <v>158</v>
      </c>
      <c r="O378" s="43" t="s">
        <v>158</v>
      </c>
      <c r="P378" s="43" t="s">
        <v>158</v>
      </c>
    </row>
    <row r="379" s="11" customFormat="1" spans="1:16">
      <c r="A379" s="32" t="s">
        <v>250</v>
      </c>
      <c r="B379" s="28" t="s">
        <v>257</v>
      </c>
      <c r="C379" s="28" t="s">
        <v>234</v>
      </c>
      <c r="D379" s="33" t="str">
        <f>+IFERROR(VLOOKUP(C379,Data,4,FALSE),"Not in data")</f>
        <v>S</v>
      </c>
      <c r="E379" s="34" t="s">
        <v>149</v>
      </c>
      <c r="F379" s="30">
        <v>1</v>
      </c>
      <c r="G379" s="30">
        <v>1</v>
      </c>
      <c r="H379" s="31">
        <v>8.1</v>
      </c>
      <c r="I379" s="40">
        <f t="shared" si="49"/>
        <v>8.1</v>
      </c>
      <c r="J379" s="31">
        <f>+IFERROR(VLOOKUP(C379,Data,2,FALSE),"Not in weight table")</f>
        <v>35.5</v>
      </c>
      <c r="K379" s="31">
        <f>+IFERROR(VLOOKUP(C379,Data,3,FALSE),"Not in weight table")</f>
        <v>0.822</v>
      </c>
      <c r="L379" s="44">
        <f t="shared" si="50"/>
        <v>0.28755</v>
      </c>
      <c r="M379" s="42">
        <f t="shared" si="51"/>
        <v>6.6582</v>
      </c>
      <c r="N379" s="43" t="s">
        <v>158</v>
      </c>
      <c r="O379" s="43" t="s">
        <v>158</v>
      </c>
      <c r="P379" s="43" t="s">
        <v>158</v>
      </c>
    </row>
    <row r="380" s="11" customFormat="1" spans="1:16">
      <c r="A380" s="32" t="s">
        <v>250</v>
      </c>
      <c r="B380" s="28" t="s">
        <v>191</v>
      </c>
      <c r="C380" s="28" t="s">
        <v>192</v>
      </c>
      <c r="D380" s="33" t="str">
        <f>+IFERROR(VLOOKUP(C380,Data,4,FALSE),"Not in data")</f>
        <v>T</v>
      </c>
      <c r="E380" s="34" t="s">
        <v>149</v>
      </c>
      <c r="F380" s="30">
        <v>1</v>
      </c>
      <c r="G380" s="30">
        <v>1</v>
      </c>
      <c r="H380" s="31">
        <v>7.72</v>
      </c>
      <c r="I380" s="40">
        <f t="shared" si="49"/>
        <v>7.72</v>
      </c>
      <c r="J380" s="31">
        <f>+IFERROR(VLOOKUP(C380,Data,2,FALSE),"Not in weight table")</f>
        <v>14.6</v>
      </c>
      <c r="K380" s="31">
        <f>+IFERROR(VLOOKUP(C380,Data,3,FALSE),"Not in weight table")</f>
        <v>0.33</v>
      </c>
      <c r="L380" s="44">
        <f t="shared" si="50"/>
        <v>0.112712</v>
      </c>
      <c r="M380" s="42">
        <f t="shared" si="51"/>
        <v>2.5476</v>
      </c>
      <c r="N380" s="43" t="s">
        <v>158</v>
      </c>
      <c r="O380" s="43" t="s">
        <v>158</v>
      </c>
      <c r="P380" s="43" t="s">
        <v>158</v>
      </c>
    </row>
    <row r="381" s="11" customFormat="1" spans="1:16">
      <c r="A381" s="32" t="s">
        <v>250</v>
      </c>
      <c r="B381" s="28" t="s">
        <v>248</v>
      </c>
      <c r="C381" s="28" t="s">
        <v>249</v>
      </c>
      <c r="D381" s="33" t="str">
        <f>+IFERROR(VLOOKUP(C381,Data,4,FALSE),"Not in data")</f>
        <v>T</v>
      </c>
      <c r="E381" s="34" t="s">
        <v>149</v>
      </c>
      <c r="F381" s="30">
        <v>1</v>
      </c>
      <c r="G381" s="30">
        <v>1</v>
      </c>
      <c r="H381" s="31">
        <v>5.75</v>
      </c>
      <c r="I381" s="40">
        <f t="shared" si="49"/>
        <v>5.75</v>
      </c>
      <c r="J381" s="31">
        <f>+IFERROR(VLOOKUP(C381,Data,2,FALSE),"Not in weight table")</f>
        <v>22.1</v>
      </c>
      <c r="K381" s="31">
        <f>+IFERROR(VLOOKUP(C381,Data,3,FALSE),"Not in weight table")</f>
        <v>0.579</v>
      </c>
      <c r="L381" s="44">
        <f t="shared" si="50"/>
        <v>0.127075</v>
      </c>
      <c r="M381" s="42">
        <f t="shared" si="51"/>
        <v>3.32925</v>
      </c>
      <c r="N381" s="43" t="s">
        <v>158</v>
      </c>
      <c r="O381" s="43" t="s">
        <v>158</v>
      </c>
      <c r="P381" s="43" t="s">
        <v>158</v>
      </c>
    </row>
    <row r="382" s="11" customFormat="1" spans="1:16">
      <c r="A382" s="32" t="s">
        <v>250</v>
      </c>
      <c r="B382" s="28" t="s">
        <v>244</v>
      </c>
      <c r="C382" s="28" t="s">
        <v>192</v>
      </c>
      <c r="D382" s="33" t="str">
        <f>+IFERROR(VLOOKUP(C382,Data,4,FALSE),"Not in data")</f>
        <v>T</v>
      </c>
      <c r="E382" s="34" t="s">
        <v>149</v>
      </c>
      <c r="F382" s="30">
        <v>1</v>
      </c>
      <c r="G382" s="30">
        <v>5</v>
      </c>
      <c r="H382" s="31">
        <v>1.5</v>
      </c>
      <c r="I382" s="40">
        <f t="shared" si="49"/>
        <v>7.5</v>
      </c>
      <c r="J382" s="31">
        <f>+IFERROR(VLOOKUP(C382,Data,2,FALSE),"Not in weight table")</f>
        <v>14.6</v>
      </c>
      <c r="K382" s="31">
        <f>+IFERROR(VLOOKUP(C382,Data,3,FALSE),"Not in weight table")</f>
        <v>0.33</v>
      </c>
      <c r="L382" s="44">
        <f t="shared" si="50"/>
        <v>0.1095</v>
      </c>
      <c r="M382" s="42">
        <f t="shared" si="51"/>
        <v>2.475</v>
      </c>
      <c r="N382" s="43" t="s">
        <v>158</v>
      </c>
      <c r="O382" s="43" t="s">
        <v>158</v>
      </c>
      <c r="P382" s="43" t="s">
        <v>158</v>
      </c>
    </row>
    <row r="383" s="11" customFormat="1" spans="1:16">
      <c r="A383" s="32" t="s">
        <v>250</v>
      </c>
      <c r="B383" s="28" t="s">
        <v>242</v>
      </c>
      <c r="C383" s="28" t="s">
        <v>243</v>
      </c>
      <c r="D383" s="33" t="str">
        <f>+IFERROR(VLOOKUP(C383,Data,4,FALSE),"Not in data")</f>
        <v>T</v>
      </c>
      <c r="E383" s="34" t="s">
        <v>149</v>
      </c>
      <c r="F383" s="30">
        <v>1</v>
      </c>
      <c r="G383" s="30">
        <v>1</v>
      </c>
      <c r="H383" s="31">
        <v>13.4</v>
      </c>
      <c r="I383" s="40">
        <f t="shared" si="49"/>
        <v>13.4</v>
      </c>
      <c r="J383" s="31">
        <f>+IFERROR(VLOOKUP(C383,Data,2,FALSE),"Not in weight table")</f>
        <v>21.4</v>
      </c>
      <c r="K383" s="31">
        <f>+IFERROR(VLOOKUP(C383,Data,3,FALSE),"Not in weight table")</f>
        <v>0.474</v>
      </c>
      <c r="L383" s="44">
        <f t="shared" si="50"/>
        <v>0.28676</v>
      </c>
      <c r="M383" s="42">
        <f t="shared" si="51"/>
        <v>6.3516</v>
      </c>
      <c r="N383" s="43" t="s">
        <v>158</v>
      </c>
      <c r="O383" s="43" t="s">
        <v>158</v>
      </c>
      <c r="P383" s="43" t="s">
        <v>158</v>
      </c>
    </row>
    <row r="384" s="11" customFormat="1" spans="1:16">
      <c r="A384" s="32" t="s">
        <v>250</v>
      </c>
      <c r="B384" s="28" t="s">
        <v>224</v>
      </c>
      <c r="C384" s="28" t="s">
        <v>259</v>
      </c>
      <c r="D384" s="33" t="str">
        <f>+IFERROR(VLOOKUP(C384,Data,4,FALSE),"Not in data")</f>
        <v>Not in data</v>
      </c>
      <c r="E384" s="34" t="s">
        <v>149</v>
      </c>
      <c r="F384" s="30">
        <v>1</v>
      </c>
      <c r="G384" s="30">
        <v>1</v>
      </c>
      <c r="H384" s="31">
        <v>3</v>
      </c>
      <c r="I384" s="40">
        <f t="shared" si="49"/>
        <v>3</v>
      </c>
      <c r="J384" s="31" t="str">
        <f>+IFERROR(VLOOKUP(C384,Data,2,FALSE),"Not in weight table")</f>
        <v>Not in weight table</v>
      </c>
      <c r="K384" s="31" t="str">
        <f>+IFERROR(VLOOKUP(C384,Data,3,FALSE),"Not in weight table")</f>
        <v>Not in weight table</v>
      </c>
      <c r="L384" s="44">
        <f t="shared" si="50"/>
        <v>0</v>
      </c>
      <c r="M384" s="42">
        <f t="shared" si="51"/>
        <v>0</v>
      </c>
      <c r="N384" s="43" t="s">
        <v>158</v>
      </c>
      <c r="O384" s="43" t="s">
        <v>158</v>
      </c>
      <c r="P384" s="43" t="s">
        <v>158</v>
      </c>
    </row>
    <row r="385" s="11" customFormat="1" spans="1:16">
      <c r="A385" s="32" t="s">
        <v>250</v>
      </c>
      <c r="B385" s="28" t="s">
        <v>184</v>
      </c>
      <c r="C385" s="28" t="s">
        <v>185</v>
      </c>
      <c r="D385" s="33" t="str">
        <f>+IFERROR(VLOOKUP(C385,Data,4,FALSE),"Not in data")</f>
        <v>Not in data</v>
      </c>
      <c r="E385" s="34" t="s">
        <v>149</v>
      </c>
      <c r="F385" s="30">
        <v>1</v>
      </c>
      <c r="G385" s="30">
        <v>1</v>
      </c>
      <c r="H385" s="31">
        <v>3.8</v>
      </c>
      <c r="I385" s="40">
        <f t="shared" si="49"/>
        <v>3.8</v>
      </c>
      <c r="J385" s="31" t="str">
        <f>+IFERROR(VLOOKUP(C385,Data,2,FALSE),"Not in weight table")</f>
        <v>Not in weight table</v>
      </c>
      <c r="K385" s="31" t="str">
        <f>+IFERROR(VLOOKUP(C385,Data,3,FALSE),"Not in weight table")</f>
        <v>Not in weight table</v>
      </c>
      <c r="L385" s="44">
        <f t="shared" si="50"/>
        <v>0</v>
      </c>
      <c r="M385" s="42">
        <f t="shared" si="51"/>
        <v>0</v>
      </c>
      <c r="N385" s="43" t="s">
        <v>158</v>
      </c>
      <c r="O385" s="43" t="s">
        <v>158</v>
      </c>
      <c r="P385" s="43" t="s">
        <v>158</v>
      </c>
    </row>
    <row r="386" s="11" customFormat="1" spans="1:16">
      <c r="A386" s="32" t="s">
        <v>250</v>
      </c>
      <c r="B386" s="28" t="s">
        <v>262</v>
      </c>
      <c r="C386" s="28" t="s">
        <v>263</v>
      </c>
      <c r="D386" s="33" t="str">
        <f>+IFERROR(VLOOKUP(C386,Data,4,FALSE),"Not in data")</f>
        <v>S</v>
      </c>
      <c r="E386" s="34" t="s">
        <v>149</v>
      </c>
      <c r="F386" s="30">
        <v>1</v>
      </c>
      <c r="G386" s="30">
        <v>1</v>
      </c>
      <c r="H386" s="31">
        <v>6.4</v>
      </c>
      <c r="I386" s="40">
        <f t="shared" si="49"/>
        <v>6.4</v>
      </c>
      <c r="J386" s="31">
        <f>+IFERROR(VLOOKUP(C386,Data,2,FALSE),"Not in weight table")</f>
        <v>37.3</v>
      </c>
      <c r="K386" s="31">
        <f>+IFERROR(VLOOKUP(C386,Data,3,FALSE),"Not in weight table")</f>
        <v>1.07</v>
      </c>
      <c r="L386" s="44">
        <f t="shared" si="50"/>
        <v>0.23872</v>
      </c>
      <c r="M386" s="42">
        <f t="shared" si="51"/>
        <v>6.848</v>
      </c>
      <c r="N386" s="43" t="s">
        <v>158</v>
      </c>
      <c r="O386" s="43" t="s">
        <v>158</v>
      </c>
      <c r="P386" s="43" t="s">
        <v>158</v>
      </c>
    </row>
    <row r="387" s="11" customFormat="1" spans="1:16">
      <c r="A387" s="32" t="s">
        <v>250</v>
      </c>
      <c r="B387" s="28" t="s">
        <v>264</v>
      </c>
      <c r="C387" s="28" t="s">
        <v>265</v>
      </c>
      <c r="D387" s="33" t="str">
        <f>+IFERROR(VLOOKUP(C387,Data,4,FALSE),"Not in data")</f>
        <v>T</v>
      </c>
      <c r="E387" s="34" t="s">
        <v>149</v>
      </c>
      <c r="F387" s="30">
        <v>1</v>
      </c>
      <c r="G387" s="30">
        <v>1</v>
      </c>
      <c r="H387" s="31">
        <v>15.51</v>
      </c>
      <c r="I387" s="40">
        <f t="shared" si="49"/>
        <v>15.51</v>
      </c>
      <c r="J387" s="31">
        <f>+IFERROR(VLOOKUP(C387,Data,2,FALSE),"Not in weight table")</f>
        <v>12.5</v>
      </c>
      <c r="K387" s="31">
        <f>+IFERROR(VLOOKUP(C387,Data,3,FALSE),"Not in weight table")</f>
        <v>0.334</v>
      </c>
      <c r="L387" s="44">
        <f t="shared" si="50"/>
        <v>0.193875</v>
      </c>
      <c r="M387" s="42">
        <f t="shared" si="51"/>
        <v>5.18034</v>
      </c>
      <c r="N387" s="43" t="s">
        <v>158</v>
      </c>
      <c r="O387" s="43" t="s">
        <v>158</v>
      </c>
      <c r="P387" s="43" t="s">
        <v>158</v>
      </c>
    </row>
    <row r="388" s="11" customFormat="1" spans="1:16">
      <c r="A388" s="32" t="s">
        <v>250</v>
      </c>
      <c r="B388" s="28" t="s">
        <v>264</v>
      </c>
      <c r="C388" s="28" t="s">
        <v>265</v>
      </c>
      <c r="D388" s="33" t="str">
        <f>+IFERROR(VLOOKUP(C388,Data,4,FALSE),"Not in data")</f>
        <v>T</v>
      </c>
      <c r="E388" s="34" t="s">
        <v>149</v>
      </c>
      <c r="F388" s="30">
        <v>1</v>
      </c>
      <c r="G388" s="30">
        <v>1</v>
      </c>
      <c r="H388" s="31">
        <v>5.4</v>
      </c>
      <c r="I388" s="40">
        <f t="shared" si="49"/>
        <v>5.4</v>
      </c>
      <c r="J388" s="31">
        <f>+IFERROR(VLOOKUP(C388,Data,2,FALSE),"Not in weight table")</f>
        <v>12.5</v>
      </c>
      <c r="K388" s="31">
        <f>+IFERROR(VLOOKUP(C388,Data,3,FALSE),"Not in weight table")</f>
        <v>0.334</v>
      </c>
      <c r="L388" s="44">
        <f t="shared" si="50"/>
        <v>0.0675</v>
      </c>
      <c r="M388" s="42">
        <f t="shared" si="51"/>
        <v>1.8036</v>
      </c>
      <c r="N388" s="43" t="s">
        <v>158</v>
      </c>
      <c r="O388" s="43" t="s">
        <v>158</v>
      </c>
      <c r="P388" s="43" t="s">
        <v>158</v>
      </c>
    </row>
    <row r="389" s="11" customFormat="1" spans="1:16">
      <c r="A389" s="32" t="s">
        <v>250</v>
      </c>
      <c r="B389" s="28" t="s">
        <v>264</v>
      </c>
      <c r="C389" s="28" t="s">
        <v>265</v>
      </c>
      <c r="D389" s="33" t="str">
        <f>+IFERROR(VLOOKUP(C389,Data,4,FALSE),"Not in data")</f>
        <v>T</v>
      </c>
      <c r="E389" s="34" t="s">
        <v>149</v>
      </c>
      <c r="F389" s="30">
        <v>1</v>
      </c>
      <c r="G389" s="30">
        <v>1</v>
      </c>
      <c r="H389" s="31">
        <v>10.5</v>
      </c>
      <c r="I389" s="40">
        <f t="shared" si="49"/>
        <v>10.5</v>
      </c>
      <c r="J389" s="31">
        <f>+IFERROR(VLOOKUP(C389,Data,2,FALSE),"Not in weight table")</f>
        <v>12.5</v>
      </c>
      <c r="K389" s="31">
        <f>+IFERROR(VLOOKUP(C389,Data,3,FALSE),"Not in weight table")</f>
        <v>0.334</v>
      </c>
      <c r="L389" s="44">
        <f t="shared" si="50"/>
        <v>0.13125</v>
      </c>
      <c r="M389" s="42">
        <f t="shared" si="51"/>
        <v>3.507</v>
      </c>
      <c r="N389" s="43" t="s">
        <v>158</v>
      </c>
      <c r="O389" s="43" t="s">
        <v>158</v>
      </c>
      <c r="P389" s="43" t="s">
        <v>158</v>
      </c>
    </row>
    <row r="390" s="11" customFormat="1" spans="1:16">
      <c r="A390" s="32" t="s">
        <v>250</v>
      </c>
      <c r="B390" s="28" t="s">
        <v>264</v>
      </c>
      <c r="C390" s="28" t="s">
        <v>266</v>
      </c>
      <c r="D390" s="33" t="str">
        <f>+IFERROR(VLOOKUP(C390,Data,4,FALSE),"Not in data")</f>
        <v>T</v>
      </c>
      <c r="E390" s="34" t="s">
        <v>149</v>
      </c>
      <c r="F390" s="30">
        <v>1</v>
      </c>
      <c r="G390" s="30">
        <v>2</v>
      </c>
      <c r="H390" s="31">
        <v>0.8</v>
      </c>
      <c r="I390" s="40">
        <f t="shared" si="49"/>
        <v>1.6</v>
      </c>
      <c r="J390" s="31">
        <f>+IFERROR(VLOOKUP(C390,Data,2,FALSE),"Not in weight table")</f>
        <v>10.3</v>
      </c>
      <c r="K390" s="31">
        <f>+IFERROR(VLOOKUP(C390,Data,3,FALSE),"Not in weight table")</f>
        <v>0.279</v>
      </c>
      <c r="L390" s="44">
        <f t="shared" si="50"/>
        <v>0.01648</v>
      </c>
      <c r="M390" s="42">
        <f t="shared" si="51"/>
        <v>0.4464</v>
      </c>
      <c r="N390" s="43" t="s">
        <v>158</v>
      </c>
      <c r="O390" s="43" t="s">
        <v>158</v>
      </c>
      <c r="P390" s="43" t="s">
        <v>158</v>
      </c>
    </row>
    <row r="391" s="11" customFormat="1" spans="1:16">
      <c r="A391" s="32" t="s">
        <v>250</v>
      </c>
      <c r="B391" s="28" t="s">
        <v>264</v>
      </c>
      <c r="C391" s="28" t="s">
        <v>266</v>
      </c>
      <c r="D391" s="33" t="str">
        <f>+IFERROR(VLOOKUP(C391,Data,4,FALSE),"Not in data")</f>
        <v>T</v>
      </c>
      <c r="E391" s="34" t="s">
        <v>149</v>
      </c>
      <c r="F391" s="30">
        <v>1</v>
      </c>
      <c r="G391" s="30">
        <v>1</v>
      </c>
      <c r="H391" s="31">
        <v>0.5</v>
      </c>
      <c r="I391" s="40">
        <f t="shared" si="49"/>
        <v>0.5</v>
      </c>
      <c r="J391" s="31">
        <f>+IFERROR(VLOOKUP(C391,Data,2,FALSE),"Not in weight table")</f>
        <v>10.3</v>
      </c>
      <c r="K391" s="31">
        <f>+IFERROR(VLOOKUP(C391,Data,3,FALSE),"Not in weight table")</f>
        <v>0.279</v>
      </c>
      <c r="L391" s="44">
        <f t="shared" si="50"/>
        <v>0.00515</v>
      </c>
      <c r="M391" s="42">
        <f t="shared" si="51"/>
        <v>0.1395</v>
      </c>
      <c r="N391" s="43" t="s">
        <v>158</v>
      </c>
      <c r="O391" s="43" t="s">
        <v>158</v>
      </c>
      <c r="P391" s="43" t="s">
        <v>158</v>
      </c>
    </row>
    <row r="392" s="11" customFormat="1" spans="1:16">
      <c r="A392" s="32" t="s">
        <v>250</v>
      </c>
      <c r="B392" s="28" t="s">
        <v>264</v>
      </c>
      <c r="C392" s="28" t="s">
        <v>266</v>
      </c>
      <c r="D392" s="33" t="str">
        <f>+IFERROR(VLOOKUP(C392,Data,4,FALSE),"Not in data")</f>
        <v>T</v>
      </c>
      <c r="E392" s="34" t="s">
        <v>149</v>
      </c>
      <c r="F392" s="30">
        <v>1</v>
      </c>
      <c r="G392" s="30">
        <v>2</v>
      </c>
      <c r="H392" s="31">
        <v>1</v>
      </c>
      <c r="I392" s="40">
        <f t="shared" si="49"/>
        <v>2</v>
      </c>
      <c r="J392" s="31">
        <f>+IFERROR(VLOOKUP(C392,Data,2,FALSE),"Not in weight table")</f>
        <v>10.3</v>
      </c>
      <c r="K392" s="31">
        <f>+IFERROR(VLOOKUP(C392,Data,3,FALSE),"Not in weight table")</f>
        <v>0.279</v>
      </c>
      <c r="L392" s="44">
        <f t="shared" si="50"/>
        <v>0.0206</v>
      </c>
      <c r="M392" s="42">
        <f t="shared" si="51"/>
        <v>0.558</v>
      </c>
      <c r="N392" s="43" t="s">
        <v>158</v>
      </c>
      <c r="O392" s="43" t="s">
        <v>158</v>
      </c>
      <c r="P392" s="43" t="s">
        <v>158</v>
      </c>
    </row>
    <row r="393" s="11" customFormat="1" spans="1:16">
      <c r="A393" s="32" t="s">
        <v>250</v>
      </c>
      <c r="B393" s="28" t="s">
        <v>264</v>
      </c>
      <c r="C393" s="28" t="s">
        <v>266</v>
      </c>
      <c r="D393" s="33" t="str">
        <f>+IFERROR(VLOOKUP(C393,Data,4,FALSE),"Not in data")</f>
        <v>T</v>
      </c>
      <c r="E393" s="34" t="s">
        <v>149</v>
      </c>
      <c r="F393" s="30">
        <v>1</v>
      </c>
      <c r="G393" s="30">
        <v>1</v>
      </c>
      <c r="H393" s="31">
        <v>1.2</v>
      </c>
      <c r="I393" s="40">
        <f t="shared" si="49"/>
        <v>1.2</v>
      </c>
      <c r="J393" s="31">
        <f>+IFERROR(VLOOKUP(C393,Data,2,FALSE),"Not in weight table")</f>
        <v>10.3</v>
      </c>
      <c r="K393" s="31">
        <f>+IFERROR(VLOOKUP(C393,Data,3,FALSE),"Not in weight table")</f>
        <v>0.279</v>
      </c>
      <c r="L393" s="44">
        <f t="shared" si="50"/>
        <v>0.01236</v>
      </c>
      <c r="M393" s="42">
        <f t="shared" si="51"/>
        <v>0.3348</v>
      </c>
      <c r="N393" s="43" t="s">
        <v>158</v>
      </c>
      <c r="O393" s="43" t="s">
        <v>158</v>
      </c>
      <c r="P393" s="43" t="s">
        <v>158</v>
      </c>
    </row>
    <row r="394" s="11" customFormat="1" spans="1:16">
      <c r="A394" s="32" t="s">
        <v>250</v>
      </c>
      <c r="B394" s="28" t="s">
        <v>264</v>
      </c>
      <c r="C394" s="28" t="s">
        <v>266</v>
      </c>
      <c r="D394" s="33" t="str">
        <f>+IFERROR(VLOOKUP(C394,Data,4,FALSE),"Not in data")</f>
        <v>T</v>
      </c>
      <c r="E394" s="34" t="s">
        <v>149</v>
      </c>
      <c r="F394" s="30">
        <v>1</v>
      </c>
      <c r="G394" s="30">
        <v>14</v>
      </c>
      <c r="H394" s="31">
        <v>1.5</v>
      </c>
      <c r="I394" s="40">
        <f t="shared" si="49"/>
        <v>21</v>
      </c>
      <c r="J394" s="31">
        <f>+IFERROR(VLOOKUP(C394,Data,2,FALSE),"Not in weight table")</f>
        <v>10.3</v>
      </c>
      <c r="K394" s="31">
        <f>+IFERROR(VLOOKUP(C394,Data,3,FALSE),"Not in weight table")</f>
        <v>0.279</v>
      </c>
      <c r="L394" s="44">
        <f t="shared" si="50"/>
        <v>0.2163</v>
      </c>
      <c r="M394" s="42">
        <f t="shared" si="51"/>
        <v>5.859</v>
      </c>
      <c r="N394" s="43" t="s">
        <v>158</v>
      </c>
      <c r="O394" s="43" t="s">
        <v>158</v>
      </c>
      <c r="P394" s="43" t="s">
        <v>158</v>
      </c>
    </row>
    <row r="395" s="11" customFormat="1" spans="1:16">
      <c r="A395" s="32" t="s">
        <v>250</v>
      </c>
      <c r="B395" s="28" t="s">
        <v>264</v>
      </c>
      <c r="C395" s="28" t="s">
        <v>266</v>
      </c>
      <c r="D395" s="33" t="str">
        <f>+IFERROR(VLOOKUP(C395,Data,4,FALSE),"Not in data")</f>
        <v>T</v>
      </c>
      <c r="E395" s="34" t="s">
        <v>149</v>
      </c>
      <c r="F395" s="30">
        <v>1</v>
      </c>
      <c r="G395" s="30">
        <v>13</v>
      </c>
      <c r="H395" s="31">
        <v>1.4</v>
      </c>
      <c r="I395" s="40">
        <f t="shared" si="49"/>
        <v>18.2</v>
      </c>
      <c r="J395" s="31">
        <f>+IFERROR(VLOOKUP(C395,Data,2,FALSE),"Not in weight table")</f>
        <v>10.3</v>
      </c>
      <c r="K395" s="31">
        <f>+IFERROR(VLOOKUP(C395,Data,3,FALSE),"Not in weight table")</f>
        <v>0.279</v>
      </c>
      <c r="L395" s="44">
        <f t="shared" si="50"/>
        <v>0.18746</v>
      </c>
      <c r="M395" s="42">
        <f t="shared" si="51"/>
        <v>5.0778</v>
      </c>
      <c r="N395" s="43" t="s">
        <v>158</v>
      </c>
      <c r="O395" s="43" t="s">
        <v>158</v>
      </c>
      <c r="P395" s="43" t="s">
        <v>158</v>
      </c>
    </row>
    <row r="396" s="11" customFormat="1" spans="1:16">
      <c r="A396" s="32" t="s">
        <v>250</v>
      </c>
      <c r="B396" s="28" t="s">
        <v>264</v>
      </c>
      <c r="C396" s="28" t="s">
        <v>266</v>
      </c>
      <c r="D396" s="33" t="str">
        <f>+IFERROR(VLOOKUP(C396,Data,4,FALSE),"Not in data")</f>
        <v>T</v>
      </c>
      <c r="E396" s="34" t="s">
        <v>149</v>
      </c>
      <c r="F396" s="30">
        <v>1</v>
      </c>
      <c r="G396" s="30">
        <v>1</v>
      </c>
      <c r="H396" s="31">
        <v>1.9</v>
      </c>
      <c r="I396" s="40">
        <f t="shared" si="49"/>
        <v>1.9</v>
      </c>
      <c r="J396" s="31">
        <f>+IFERROR(VLOOKUP(C396,Data,2,FALSE),"Not in weight table")</f>
        <v>10.3</v>
      </c>
      <c r="K396" s="31">
        <f>+IFERROR(VLOOKUP(C396,Data,3,FALSE),"Not in weight table")</f>
        <v>0.279</v>
      </c>
      <c r="L396" s="44">
        <f t="shared" si="50"/>
        <v>0.01957</v>
      </c>
      <c r="M396" s="42">
        <f t="shared" si="51"/>
        <v>0.5301</v>
      </c>
      <c r="N396" s="43" t="s">
        <v>158</v>
      </c>
      <c r="O396" s="43" t="s">
        <v>158</v>
      </c>
      <c r="P396" s="43" t="s">
        <v>158</v>
      </c>
    </row>
    <row r="397" s="11" customFormat="1" spans="1:16">
      <c r="A397" s="32" t="s">
        <v>250</v>
      </c>
      <c r="B397" s="28" t="s">
        <v>264</v>
      </c>
      <c r="C397" s="28" t="s">
        <v>266</v>
      </c>
      <c r="D397" s="33" t="str">
        <f>+IFERROR(VLOOKUP(C397,Data,4,FALSE),"Not in data")</f>
        <v>T</v>
      </c>
      <c r="E397" s="34" t="s">
        <v>149</v>
      </c>
      <c r="F397" s="30">
        <v>1</v>
      </c>
      <c r="G397" s="30">
        <v>4</v>
      </c>
      <c r="H397" s="31">
        <v>1.6</v>
      </c>
      <c r="I397" s="40">
        <f t="shared" si="49"/>
        <v>6.4</v>
      </c>
      <c r="J397" s="31">
        <f>+IFERROR(VLOOKUP(C397,Data,2,FALSE),"Not in weight table")</f>
        <v>10.3</v>
      </c>
      <c r="K397" s="31">
        <f>+IFERROR(VLOOKUP(C397,Data,3,FALSE),"Not in weight table")</f>
        <v>0.279</v>
      </c>
      <c r="L397" s="44">
        <f t="shared" si="50"/>
        <v>0.06592</v>
      </c>
      <c r="M397" s="42">
        <f t="shared" si="51"/>
        <v>1.7856</v>
      </c>
      <c r="N397" s="43" t="s">
        <v>158</v>
      </c>
      <c r="O397" s="43" t="s">
        <v>158</v>
      </c>
      <c r="P397" s="43" t="s">
        <v>158</v>
      </c>
    </row>
    <row r="398" s="11" customFormat="1" spans="1:16">
      <c r="A398" s="32" t="s">
        <v>250</v>
      </c>
      <c r="B398" s="28" t="s">
        <v>264</v>
      </c>
      <c r="C398" s="28" t="s">
        <v>266</v>
      </c>
      <c r="D398" s="33" t="str">
        <f>+IFERROR(VLOOKUP(C398,Data,4,FALSE),"Not in data")</f>
        <v>T</v>
      </c>
      <c r="E398" s="34" t="s">
        <v>149</v>
      </c>
      <c r="F398" s="30">
        <v>1</v>
      </c>
      <c r="G398" s="30">
        <v>1</v>
      </c>
      <c r="H398" s="31">
        <v>1.8</v>
      </c>
      <c r="I398" s="40">
        <f t="shared" si="49"/>
        <v>1.8</v>
      </c>
      <c r="J398" s="31">
        <f>+IFERROR(VLOOKUP(C398,Data,2,FALSE),"Not in weight table")</f>
        <v>10.3</v>
      </c>
      <c r="K398" s="31">
        <f>+IFERROR(VLOOKUP(C398,Data,3,FALSE),"Not in weight table")</f>
        <v>0.279</v>
      </c>
      <c r="L398" s="44">
        <f t="shared" si="50"/>
        <v>0.01854</v>
      </c>
      <c r="M398" s="42">
        <f t="shared" si="51"/>
        <v>0.5022</v>
      </c>
      <c r="N398" s="43" t="s">
        <v>158</v>
      </c>
      <c r="O398" s="43" t="s">
        <v>158</v>
      </c>
      <c r="P398" s="43" t="s">
        <v>158</v>
      </c>
    </row>
    <row r="399" s="11" customFormat="1" spans="1:16">
      <c r="A399" s="32" t="s">
        <v>250</v>
      </c>
      <c r="B399" s="28" t="s">
        <v>184</v>
      </c>
      <c r="C399" s="28" t="s">
        <v>185</v>
      </c>
      <c r="D399" s="33" t="str">
        <f>+IFERROR(VLOOKUP(C399,Data,4,FALSE),"Not in data")</f>
        <v>Not in data</v>
      </c>
      <c r="E399" s="34" t="s">
        <v>149</v>
      </c>
      <c r="F399" s="30">
        <v>1</v>
      </c>
      <c r="G399" s="30">
        <v>3</v>
      </c>
      <c r="H399" s="31">
        <v>5.5</v>
      </c>
      <c r="I399" s="40">
        <f t="shared" si="49"/>
        <v>16.5</v>
      </c>
      <c r="J399" s="31" t="str">
        <f>+IFERROR(VLOOKUP(C399,Data,2,FALSE),"Not in weight table")</f>
        <v>Not in weight table</v>
      </c>
      <c r="K399" s="31" t="str">
        <f>+IFERROR(VLOOKUP(C399,Data,3,FALSE),"Not in weight table")</f>
        <v>Not in weight table</v>
      </c>
      <c r="L399" s="44">
        <f t="shared" si="50"/>
        <v>0</v>
      </c>
      <c r="M399" s="42">
        <f t="shared" si="51"/>
        <v>0</v>
      </c>
      <c r="N399" s="43" t="s">
        <v>158</v>
      </c>
      <c r="O399" s="43" t="s">
        <v>158</v>
      </c>
      <c r="P399" s="43" t="s">
        <v>158</v>
      </c>
    </row>
    <row r="400" s="11" customFormat="1" spans="1:16">
      <c r="A400" s="32" t="s">
        <v>250</v>
      </c>
      <c r="B400" s="28" t="s">
        <v>233</v>
      </c>
      <c r="C400" s="28" t="s">
        <v>234</v>
      </c>
      <c r="D400" s="33" t="str">
        <f>+IFERROR(VLOOKUP(C400,Data,4,FALSE),"Not in data")</f>
        <v>S</v>
      </c>
      <c r="E400" s="34" t="s">
        <v>149</v>
      </c>
      <c r="F400" s="30">
        <v>1</v>
      </c>
      <c r="G400" s="30">
        <v>1</v>
      </c>
      <c r="H400" s="31">
        <v>3.8</v>
      </c>
      <c r="I400" s="40">
        <f t="shared" si="49"/>
        <v>3.8</v>
      </c>
      <c r="J400" s="31">
        <f>+IFERROR(VLOOKUP(C400,Data,2,FALSE),"Not in weight table")</f>
        <v>35.5</v>
      </c>
      <c r="K400" s="31">
        <f>+IFERROR(VLOOKUP(C400,Data,3,FALSE),"Not in weight table")</f>
        <v>0.822</v>
      </c>
      <c r="L400" s="44">
        <f t="shared" si="50"/>
        <v>0.1349</v>
      </c>
      <c r="M400" s="42">
        <f t="shared" si="51"/>
        <v>3.1236</v>
      </c>
      <c r="N400" s="43" t="s">
        <v>158</v>
      </c>
      <c r="O400" s="43" t="s">
        <v>158</v>
      </c>
      <c r="P400" s="43" t="s">
        <v>158</v>
      </c>
    </row>
    <row r="401" s="11" customFormat="1" spans="1:16">
      <c r="A401" s="32" t="s">
        <v>250</v>
      </c>
      <c r="B401" s="28" t="s">
        <v>233</v>
      </c>
      <c r="C401" s="28" t="s">
        <v>234</v>
      </c>
      <c r="D401" s="33" t="str">
        <f>+IFERROR(VLOOKUP(C401,Data,4,FALSE),"Not in data")</f>
        <v>S</v>
      </c>
      <c r="E401" s="34" t="s">
        <v>149</v>
      </c>
      <c r="F401" s="30">
        <v>1</v>
      </c>
      <c r="G401" s="30">
        <v>1</v>
      </c>
      <c r="H401" s="31">
        <v>4.7</v>
      </c>
      <c r="I401" s="40">
        <f t="shared" si="49"/>
        <v>4.7</v>
      </c>
      <c r="J401" s="31">
        <f>+IFERROR(VLOOKUP(C401,Data,2,FALSE),"Not in weight table")</f>
        <v>35.5</v>
      </c>
      <c r="K401" s="31">
        <f>+IFERROR(VLOOKUP(C401,Data,3,FALSE),"Not in weight table")</f>
        <v>0.822</v>
      </c>
      <c r="L401" s="44">
        <f t="shared" si="50"/>
        <v>0.16685</v>
      </c>
      <c r="M401" s="42">
        <f t="shared" si="51"/>
        <v>3.8634</v>
      </c>
      <c r="N401" s="43" t="s">
        <v>158</v>
      </c>
      <c r="O401" s="43" t="s">
        <v>158</v>
      </c>
      <c r="P401" s="43" t="s">
        <v>158</v>
      </c>
    </row>
    <row r="402" s="11" customFormat="1" spans="1:16">
      <c r="A402" s="32" t="s">
        <v>250</v>
      </c>
      <c r="B402" s="28" t="s">
        <v>233</v>
      </c>
      <c r="C402" s="28" t="s">
        <v>234</v>
      </c>
      <c r="D402" s="33" t="str">
        <f>+IFERROR(VLOOKUP(C402,Data,4,FALSE),"Not in data")</f>
        <v>S</v>
      </c>
      <c r="E402" s="34" t="s">
        <v>149</v>
      </c>
      <c r="F402" s="30">
        <v>1</v>
      </c>
      <c r="G402" s="30">
        <v>1</v>
      </c>
      <c r="H402" s="31">
        <v>4.1</v>
      </c>
      <c r="I402" s="40">
        <f t="shared" si="49"/>
        <v>4.1</v>
      </c>
      <c r="J402" s="31">
        <f>+IFERROR(VLOOKUP(C402,Data,2,FALSE),"Not in weight table")</f>
        <v>35.5</v>
      </c>
      <c r="K402" s="31">
        <f>+IFERROR(VLOOKUP(C402,Data,3,FALSE),"Not in weight table")</f>
        <v>0.822</v>
      </c>
      <c r="L402" s="44">
        <f t="shared" si="50"/>
        <v>0.14555</v>
      </c>
      <c r="M402" s="42">
        <f t="shared" si="51"/>
        <v>3.3702</v>
      </c>
      <c r="N402" s="43" t="s">
        <v>158</v>
      </c>
      <c r="O402" s="43" t="s">
        <v>158</v>
      </c>
      <c r="P402" s="43" t="s">
        <v>158</v>
      </c>
    </row>
    <row r="403" s="11" customFormat="1" spans="1:16">
      <c r="A403" s="32" t="s">
        <v>250</v>
      </c>
      <c r="B403" s="28" t="s">
        <v>260</v>
      </c>
      <c r="C403" s="28" t="s">
        <v>261</v>
      </c>
      <c r="D403" s="33" t="str">
        <f>+IFERROR(VLOOKUP(C403,Data,4,FALSE),"Not in data")</f>
        <v>T250P</v>
      </c>
      <c r="E403" s="34" t="s">
        <v>149</v>
      </c>
      <c r="F403" s="30">
        <v>1</v>
      </c>
      <c r="G403" s="30">
        <v>1</v>
      </c>
      <c r="H403" s="31">
        <v>7.4</v>
      </c>
      <c r="I403" s="40">
        <f t="shared" si="49"/>
        <v>7.4</v>
      </c>
      <c r="J403" s="31">
        <f>+IFERROR(VLOOKUP(C403,Data,2,FALSE),"Not in weight table")</f>
        <v>35.6</v>
      </c>
      <c r="K403" s="31">
        <f>+IFERROR(VLOOKUP(C403,Data,3,FALSE),"Not in weight table")</f>
        <v>0.8</v>
      </c>
      <c r="L403" s="44">
        <f t="shared" si="50"/>
        <v>0.26344</v>
      </c>
      <c r="M403" s="42">
        <f t="shared" si="51"/>
        <v>5.92</v>
      </c>
      <c r="N403" s="43" t="s">
        <v>158</v>
      </c>
      <c r="O403" s="43" t="s">
        <v>158</v>
      </c>
      <c r="P403" s="43" t="s">
        <v>158</v>
      </c>
    </row>
    <row r="404" s="11" customFormat="1" spans="1:16">
      <c r="A404" s="32" t="s">
        <v>250</v>
      </c>
      <c r="B404" s="28" t="s">
        <v>257</v>
      </c>
      <c r="C404" s="28" t="s">
        <v>234</v>
      </c>
      <c r="D404" s="33" t="str">
        <f>+IFERROR(VLOOKUP(C404,Data,4,FALSE),"Not in data")</f>
        <v>S</v>
      </c>
      <c r="E404" s="34" t="s">
        <v>149</v>
      </c>
      <c r="F404" s="30">
        <v>1</v>
      </c>
      <c r="G404" s="30">
        <v>1</v>
      </c>
      <c r="H404" s="31">
        <v>7.1</v>
      </c>
      <c r="I404" s="40">
        <f t="shared" si="49"/>
        <v>7.1</v>
      </c>
      <c r="J404" s="31">
        <f>+IFERROR(VLOOKUP(C404,Data,2,FALSE),"Not in weight table")</f>
        <v>35.5</v>
      </c>
      <c r="K404" s="31">
        <f>+IFERROR(VLOOKUP(C404,Data,3,FALSE),"Not in weight table")</f>
        <v>0.822</v>
      </c>
      <c r="L404" s="44">
        <f t="shared" si="50"/>
        <v>0.25205</v>
      </c>
      <c r="M404" s="42">
        <f t="shared" si="51"/>
        <v>5.8362</v>
      </c>
      <c r="N404" s="43" t="s">
        <v>158</v>
      </c>
      <c r="O404" s="43" t="s">
        <v>158</v>
      </c>
      <c r="P404" s="43" t="s">
        <v>158</v>
      </c>
    </row>
    <row r="405" s="11" customFormat="1" spans="1:16">
      <c r="A405" s="32" t="s">
        <v>250</v>
      </c>
      <c r="B405" s="28" t="s">
        <v>224</v>
      </c>
      <c r="C405" s="28" t="s">
        <v>259</v>
      </c>
      <c r="D405" s="33" t="str">
        <f>+IFERROR(VLOOKUP(C405,Data,4,FALSE),"Not in data")</f>
        <v>Not in data</v>
      </c>
      <c r="E405" s="34" t="s">
        <v>149</v>
      </c>
      <c r="F405" s="30">
        <v>1</v>
      </c>
      <c r="G405" s="30">
        <v>1</v>
      </c>
      <c r="H405" s="31">
        <v>5.4</v>
      </c>
      <c r="I405" s="40">
        <f t="shared" si="49"/>
        <v>5.4</v>
      </c>
      <c r="J405" s="31" t="str">
        <f>+IFERROR(VLOOKUP(C405,Data,2,FALSE),"Not in weight table")</f>
        <v>Not in weight table</v>
      </c>
      <c r="K405" s="31" t="str">
        <f>+IFERROR(VLOOKUP(C405,Data,3,FALSE),"Not in weight table")</f>
        <v>Not in weight table</v>
      </c>
      <c r="L405" s="44">
        <f t="shared" si="50"/>
        <v>0</v>
      </c>
      <c r="M405" s="42">
        <f t="shared" si="51"/>
        <v>0</v>
      </c>
      <c r="N405" s="43" t="s">
        <v>158</v>
      </c>
      <c r="O405" s="43" t="s">
        <v>158</v>
      </c>
      <c r="P405" s="43" t="s">
        <v>158</v>
      </c>
    </row>
    <row r="406" s="11" customFormat="1" spans="1:16">
      <c r="A406" s="32" t="s">
        <v>250</v>
      </c>
      <c r="B406" s="28" t="s">
        <v>191</v>
      </c>
      <c r="C406" s="28" t="s">
        <v>192</v>
      </c>
      <c r="D406" s="33" t="str">
        <f>+IFERROR(VLOOKUP(C406,Data,4,FALSE),"Not in data")</f>
        <v>T</v>
      </c>
      <c r="E406" s="34" t="s">
        <v>149</v>
      </c>
      <c r="F406" s="30">
        <v>1</v>
      </c>
      <c r="G406" s="30">
        <v>1</v>
      </c>
      <c r="H406" s="31">
        <v>3.9</v>
      </c>
      <c r="I406" s="40">
        <f t="shared" si="49"/>
        <v>3.9</v>
      </c>
      <c r="J406" s="31">
        <f>+IFERROR(VLOOKUP(C406,Data,2,FALSE),"Not in weight table")</f>
        <v>14.6</v>
      </c>
      <c r="K406" s="31">
        <f>+IFERROR(VLOOKUP(C406,Data,3,FALSE),"Not in weight table")</f>
        <v>0.33</v>
      </c>
      <c r="L406" s="44">
        <f t="shared" si="50"/>
        <v>0.05694</v>
      </c>
      <c r="M406" s="42">
        <f t="shared" si="51"/>
        <v>1.287</v>
      </c>
      <c r="N406" s="43" t="s">
        <v>158</v>
      </c>
      <c r="O406" s="43" t="s">
        <v>158</v>
      </c>
      <c r="P406" s="43" t="s">
        <v>158</v>
      </c>
    </row>
    <row r="407" s="11" customFormat="1" spans="1:16">
      <c r="A407" s="32" t="s">
        <v>250</v>
      </c>
      <c r="B407" s="28" t="s">
        <v>238</v>
      </c>
      <c r="C407" s="28" t="s">
        <v>194</v>
      </c>
      <c r="D407" s="33" t="str">
        <f>+IFERROR(VLOOKUP(C407,Data,4,FALSE),"Not in data")</f>
        <v>T</v>
      </c>
      <c r="E407" s="34" t="s">
        <v>149</v>
      </c>
      <c r="F407" s="30">
        <v>1</v>
      </c>
      <c r="G407" s="30">
        <v>1</v>
      </c>
      <c r="H407" s="31">
        <v>7.4</v>
      </c>
      <c r="I407" s="40">
        <f t="shared" si="49"/>
        <v>7.4</v>
      </c>
      <c r="J407" s="31">
        <f>+IFERROR(VLOOKUP(C407,Data,2,FALSE),"Not in weight table")</f>
        <v>17.9</v>
      </c>
      <c r="K407" s="31">
        <f>+IFERROR(VLOOKUP(C407,Data,3,FALSE),"Not in weight table")</f>
        <v>0.583</v>
      </c>
      <c r="L407" s="44">
        <f t="shared" si="50"/>
        <v>0.13246</v>
      </c>
      <c r="M407" s="42">
        <f t="shared" si="51"/>
        <v>4.3142</v>
      </c>
      <c r="N407" s="43" t="s">
        <v>158</v>
      </c>
      <c r="O407" s="43" t="s">
        <v>158</v>
      </c>
      <c r="P407" s="43" t="s">
        <v>158</v>
      </c>
    </row>
    <row r="408" s="11" customFormat="1" spans="1:16">
      <c r="A408" s="32" t="s">
        <v>250</v>
      </c>
      <c r="B408" s="28" t="s">
        <v>248</v>
      </c>
      <c r="C408" s="28" t="s">
        <v>249</v>
      </c>
      <c r="D408" s="33" t="str">
        <f>+IFERROR(VLOOKUP(C408,Data,4,FALSE),"Not in data")</f>
        <v>T</v>
      </c>
      <c r="E408" s="34" t="s">
        <v>149</v>
      </c>
      <c r="F408" s="30">
        <v>1</v>
      </c>
      <c r="G408" s="30">
        <v>1</v>
      </c>
      <c r="H408" s="31">
        <v>5.5</v>
      </c>
      <c r="I408" s="40">
        <f t="shared" si="49"/>
        <v>5.5</v>
      </c>
      <c r="J408" s="31">
        <f>+IFERROR(VLOOKUP(C408,Data,2,FALSE),"Not in weight table")</f>
        <v>22.1</v>
      </c>
      <c r="K408" s="31">
        <f>+IFERROR(VLOOKUP(C408,Data,3,FALSE),"Not in weight table")</f>
        <v>0.579</v>
      </c>
      <c r="L408" s="44">
        <f t="shared" si="50"/>
        <v>0.12155</v>
      </c>
      <c r="M408" s="42">
        <f t="shared" si="51"/>
        <v>3.1845</v>
      </c>
      <c r="N408" s="43" t="s">
        <v>158</v>
      </c>
      <c r="O408" s="43" t="s">
        <v>158</v>
      </c>
      <c r="P408" s="43" t="s">
        <v>158</v>
      </c>
    </row>
    <row r="409" s="11" customFormat="1" spans="1:16">
      <c r="A409" s="32" t="s">
        <v>250</v>
      </c>
      <c r="B409" s="28" t="s">
        <v>244</v>
      </c>
      <c r="C409" s="28" t="s">
        <v>192</v>
      </c>
      <c r="D409" s="33" t="str">
        <f>+IFERROR(VLOOKUP(C409,Data,4,FALSE),"Not in data")</f>
        <v>T</v>
      </c>
      <c r="E409" s="34" t="s">
        <v>149</v>
      </c>
      <c r="F409" s="30">
        <v>1</v>
      </c>
      <c r="G409" s="30">
        <v>7</v>
      </c>
      <c r="H409" s="31">
        <v>1.5</v>
      </c>
      <c r="I409" s="40">
        <f t="shared" si="49"/>
        <v>10.5</v>
      </c>
      <c r="J409" s="31">
        <f>+IFERROR(VLOOKUP(C409,Data,2,FALSE),"Not in weight table")</f>
        <v>14.6</v>
      </c>
      <c r="K409" s="31">
        <f>+IFERROR(VLOOKUP(C409,Data,3,FALSE),"Not in weight table")</f>
        <v>0.33</v>
      </c>
      <c r="L409" s="44">
        <f t="shared" si="50"/>
        <v>0.1533</v>
      </c>
      <c r="M409" s="42">
        <f t="shared" si="51"/>
        <v>3.465</v>
      </c>
      <c r="N409" s="43" t="s">
        <v>158</v>
      </c>
      <c r="O409" s="43" t="s">
        <v>158</v>
      </c>
      <c r="P409" s="43" t="s">
        <v>158</v>
      </c>
    </row>
    <row r="410" s="11" customFormat="1" spans="1:16">
      <c r="A410" s="32" t="s">
        <v>250</v>
      </c>
      <c r="B410" s="28" t="s">
        <v>242</v>
      </c>
      <c r="C410" s="28" t="s">
        <v>243</v>
      </c>
      <c r="D410" s="33" t="str">
        <f>+IFERROR(VLOOKUP(C410,Data,4,FALSE),"Not in data")</f>
        <v>T</v>
      </c>
      <c r="E410" s="34" t="s">
        <v>149</v>
      </c>
      <c r="F410" s="30">
        <v>1</v>
      </c>
      <c r="G410" s="30">
        <v>1</v>
      </c>
      <c r="H410" s="31">
        <v>20.6</v>
      </c>
      <c r="I410" s="40">
        <f t="shared" si="49"/>
        <v>20.6</v>
      </c>
      <c r="J410" s="31">
        <f>+IFERROR(VLOOKUP(C410,Data,2,FALSE),"Not in weight table")</f>
        <v>21.4</v>
      </c>
      <c r="K410" s="31">
        <f>+IFERROR(VLOOKUP(C410,Data,3,FALSE),"Not in weight table")</f>
        <v>0.474</v>
      </c>
      <c r="L410" s="44">
        <f t="shared" si="50"/>
        <v>0.44084</v>
      </c>
      <c r="M410" s="42">
        <f t="shared" si="51"/>
        <v>9.7644</v>
      </c>
      <c r="N410" s="43" t="s">
        <v>158</v>
      </c>
      <c r="O410" s="43" t="s">
        <v>158</v>
      </c>
      <c r="P410" s="43" t="s">
        <v>158</v>
      </c>
    </row>
    <row r="411" s="11" customFormat="1" spans="1:16">
      <c r="A411" s="32" t="s">
        <v>250</v>
      </c>
      <c r="B411" s="28" t="s">
        <v>199</v>
      </c>
      <c r="C411" s="28" t="s">
        <v>200</v>
      </c>
      <c r="D411" s="33" t="str">
        <f>+IFERROR(VLOOKUP(C411,Data,4,FALSE),"Not in data")</f>
        <v>Not in data</v>
      </c>
      <c r="E411" s="34" t="s">
        <v>149</v>
      </c>
      <c r="F411" s="30">
        <v>1</v>
      </c>
      <c r="G411" s="30">
        <v>1</v>
      </c>
      <c r="H411" s="31">
        <v>1.9</v>
      </c>
      <c r="I411" s="40">
        <f t="shared" si="49"/>
        <v>1.9</v>
      </c>
      <c r="J411" s="31" t="str">
        <f>+IFERROR(VLOOKUP(C411,Data,2,FALSE),"Not in weight table")</f>
        <v>Not in weight table</v>
      </c>
      <c r="K411" s="31" t="str">
        <f>+IFERROR(VLOOKUP(C411,Data,3,FALSE),"Not in weight table")</f>
        <v>Not in weight table</v>
      </c>
      <c r="L411" s="44">
        <f t="shared" si="50"/>
        <v>0</v>
      </c>
      <c r="M411" s="42">
        <f t="shared" si="51"/>
        <v>0</v>
      </c>
      <c r="N411" s="43" t="s">
        <v>158</v>
      </c>
      <c r="O411" s="43" t="s">
        <v>158</v>
      </c>
      <c r="P411" s="43" t="s">
        <v>158</v>
      </c>
    </row>
    <row r="412" s="11" customFormat="1" spans="1:16">
      <c r="A412" s="32" t="s">
        <v>250</v>
      </c>
      <c r="B412" s="28" t="s">
        <v>201</v>
      </c>
      <c r="C412" s="28" t="s">
        <v>202</v>
      </c>
      <c r="D412" s="33" t="str">
        <f>+IFERROR(VLOOKUP(C412,Data,4,FALSE),"Not in data")</f>
        <v>T</v>
      </c>
      <c r="E412" s="34" t="s">
        <v>149</v>
      </c>
      <c r="F412" s="30">
        <v>1</v>
      </c>
      <c r="G412" s="30">
        <v>1</v>
      </c>
      <c r="H412" s="31">
        <v>8.5</v>
      </c>
      <c r="I412" s="40">
        <f t="shared" si="49"/>
        <v>8.5</v>
      </c>
      <c r="J412" s="31">
        <f>+IFERROR(VLOOKUP(C412,Data,2,FALSE),"Not in weight table")</f>
        <v>19.4</v>
      </c>
      <c r="K412" s="31">
        <f>+IFERROR(VLOOKUP(C412,Data,3,FALSE),"Not in weight table")</f>
        <v>0.529</v>
      </c>
      <c r="L412" s="44">
        <f t="shared" si="50"/>
        <v>0.1649</v>
      </c>
      <c r="M412" s="42">
        <f t="shared" si="51"/>
        <v>4.4965</v>
      </c>
      <c r="N412" s="43" t="s">
        <v>158</v>
      </c>
      <c r="O412" s="43" t="s">
        <v>158</v>
      </c>
      <c r="P412" s="43" t="s">
        <v>158</v>
      </c>
    </row>
    <row r="413" s="11" customFormat="1" spans="1:16">
      <c r="A413" s="32" t="s">
        <v>250</v>
      </c>
      <c r="B413" s="28" t="s">
        <v>199</v>
      </c>
      <c r="C413" s="28" t="s">
        <v>200</v>
      </c>
      <c r="D413" s="33" t="str">
        <f>+IFERROR(VLOOKUP(C413,Data,4,FALSE),"Not in data")</f>
        <v>Not in data</v>
      </c>
      <c r="E413" s="34" t="s">
        <v>149</v>
      </c>
      <c r="F413" s="30">
        <v>1</v>
      </c>
      <c r="G413" s="30">
        <v>1</v>
      </c>
      <c r="H413" s="31">
        <v>6.25</v>
      </c>
      <c r="I413" s="40">
        <f t="shared" si="49"/>
        <v>6.25</v>
      </c>
      <c r="J413" s="31" t="str">
        <f>+IFERROR(VLOOKUP(C413,Data,2,FALSE),"Not in weight table")</f>
        <v>Not in weight table</v>
      </c>
      <c r="K413" s="31" t="str">
        <f>+IFERROR(VLOOKUP(C413,Data,3,FALSE),"Not in weight table")</f>
        <v>Not in weight table</v>
      </c>
      <c r="L413" s="44">
        <f t="shared" si="50"/>
        <v>0</v>
      </c>
      <c r="M413" s="42">
        <f t="shared" si="51"/>
        <v>0</v>
      </c>
      <c r="N413" s="43" t="s">
        <v>158</v>
      </c>
      <c r="O413" s="43" t="s">
        <v>158</v>
      </c>
      <c r="P413" s="43" t="s">
        <v>158</v>
      </c>
    </row>
    <row r="414" s="11" customFormat="1" spans="1:16">
      <c r="A414" s="32" t="s">
        <v>250</v>
      </c>
      <c r="B414" s="28" t="s">
        <v>199</v>
      </c>
      <c r="C414" s="28" t="s">
        <v>200</v>
      </c>
      <c r="D414" s="33" t="str">
        <f>+IFERROR(VLOOKUP(C414,Data,4,FALSE),"Not in data")</f>
        <v>Not in data</v>
      </c>
      <c r="E414" s="34" t="s">
        <v>149</v>
      </c>
      <c r="F414" s="30">
        <v>1</v>
      </c>
      <c r="G414" s="30">
        <v>1</v>
      </c>
      <c r="H414" s="31">
        <v>7.1</v>
      </c>
      <c r="I414" s="40">
        <f t="shared" si="49"/>
        <v>7.1</v>
      </c>
      <c r="J414" s="31" t="str">
        <f>+IFERROR(VLOOKUP(C414,Data,2,FALSE),"Not in weight table")</f>
        <v>Not in weight table</v>
      </c>
      <c r="K414" s="31" t="str">
        <f>+IFERROR(VLOOKUP(C414,Data,3,FALSE),"Not in weight table")</f>
        <v>Not in weight table</v>
      </c>
      <c r="L414" s="44">
        <f t="shared" si="50"/>
        <v>0</v>
      </c>
      <c r="M414" s="42">
        <f t="shared" si="51"/>
        <v>0</v>
      </c>
      <c r="N414" s="43" t="s">
        <v>158</v>
      </c>
      <c r="O414" s="43" t="s">
        <v>158</v>
      </c>
      <c r="P414" s="43" t="s">
        <v>158</v>
      </c>
    </row>
    <row r="415" s="11" customFormat="1" spans="1:16">
      <c r="A415" s="32" t="s">
        <v>250</v>
      </c>
      <c r="B415" s="28" t="s">
        <v>199</v>
      </c>
      <c r="C415" s="28" t="s">
        <v>200</v>
      </c>
      <c r="D415" s="33" t="str">
        <f>+IFERROR(VLOOKUP(C415,Data,4,FALSE),"Not in data")</f>
        <v>Not in data</v>
      </c>
      <c r="E415" s="34" t="s">
        <v>149</v>
      </c>
      <c r="F415" s="30">
        <v>1</v>
      </c>
      <c r="G415" s="30">
        <v>1</v>
      </c>
      <c r="H415" s="31">
        <v>6.4</v>
      </c>
      <c r="I415" s="40">
        <f t="shared" si="49"/>
        <v>6.4</v>
      </c>
      <c r="J415" s="31" t="str">
        <f>+IFERROR(VLOOKUP(C415,Data,2,FALSE),"Not in weight table")</f>
        <v>Not in weight table</v>
      </c>
      <c r="K415" s="31" t="str">
        <f>+IFERROR(VLOOKUP(C415,Data,3,FALSE),"Not in weight table")</f>
        <v>Not in weight table</v>
      </c>
      <c r="L415" s="44">
        <f t="shared" si="50"/>
        <v>0</v>
      </c>
      <c r="M415" s="42">
        <f t="shared" si="51"/>
        <v>0</v>
      </c>
      <c r="N415" s="43" t="s">
        <v>158</v>
      </c>
      <c r="O415" s="43" t="s">
        <v>158</v>
      </c>
      <c r="P415" s="43" t="s">
        <v>158</v>
      </c>
    </row>
    <row r="416" s="11" customFormat="1" spans="1:16">
      <c r="A416" s="32" t="s">
        <v>250</v>
      </c>
      <c r="B416" s="28" t="s">
        <v>199</v>
      </c>
      <c r="C416" s="28" t="s">
        <v>200</v>
      </c>
      <c r="D416" s="33" t="str">
        <f>+IFERROR(VLOOKUP(C416,Data,4,FALSE),"Not in data")</f>
        <v>Not in data</v>
      </c>
      <c r="E416" s="34" t="s">
        <v>149</v>
      </c>
      <c r="F416" s="30">
        <v>1</v>
      </c>
      <c r="G416" s="30">
        <v>1</v>
      </c>
      <c r="H416" s="31">
        <v>6.8</v>
      </c>
      <c r="I416" s="40">
        <f t="shared" si="49"/>
        <v>6.8</v>
      </c>
      <c r="J416" s="31" t="str">
        <f>+IFERROR(VLOOKUP(C416,Data,2,FALSE),"Not in weight table")</f>
        <v>Not in weight table</v>
      </c>
      <c r="K416" s="31" t="str">
        <f>+IFERROR(VLOOKUP(C416,Data,3,FALSE),"Not in weight table")</f>
        <v>Not in weight table</v>
      </c>
      <c r="L416" s="44">
        <f t="shared" si="50"/>
        <v>0</v>
      </c>
      <c r="M416" s="42">
        <f t="shared" si="51"/>
        <v>0</v>
      </c>
      <c r="N416" s="43" t="s">
        <v>158</v>
      </c>
      <c r="O416" s="43" t="s">
        <v>158</v>
      </c>
      <c r="P416" s="43" t="s">
        <v>158</v>
      </c>
    </row>
    <row r="417" s="11" customFormat="1" spans="1:16">
      <c r="A417" s="32" t="s">
        <v>250</v>
      </c>
      <c r="B417" s="28" t="s">
        <v>224</v>
      </c>
      <c r="C417" s="28" t="s">
        <v>259</v>
      </c>
      <c r="D417" s="33" t="str">
        <f>+IFERROR(VLOOKUP(C417,Data,4,FALSE),"Not in data")</f>
        <v>Not in data</v>
      </c>
      <c r="E417" s="34" t="s">
        <v>149</v>
      </c>
      <c r="F417" s="30">
        <v>1</v>
      </c>
      <c r="G417" s="30">
        <v>5</v>
      </c>
      <c r="H417" s="31">
        <v>4.7</v>
      </c>
      <c r="I417" s="40">
        <f t="shared" si="49"/>
        <v>23.5</v>
      </c>
      <c r="J417" s="31" t="str">
        <f>+IFERROR(VLOOKUP(C417,Data,2,FALSE),"Not in weight table")</f>
        <v>Not in weight table</v>
      </c>
      <c r="K417" s="31" t="str">
        <f>+IFERROR(VLOOKUP(C417,Data,3,FALSE),"Not in weight table")</f>
        <v>Not in weight table</v>
      </c>
      <c r="L417" s="44">
        <f t="shared" si="50"/>
        <v>0</v>
      </c>
      <c r="M417" s="42">
        <f t="shared" si="51"/>
        <v>0</v>
      </c>
      <c r="N417" s="43" t="s">
        <v>158</v>
      </c>
      <c r="O417" s="43" t="s">
        <v>158</v>
      </c>
      <c r="P417" s="43" t="s">
        <v>158</v>
      </c>
    </row>
    <row r="418" s="11" customFormat="1" spans="1:16">
      <c r="A418" s="32" t="s">
        <v>250</v>
      </c>
      <c r="B418" s="28" t="s">
        <v>267</v>
      </c>
      <c r="C418" s="28" t="s">
        <v>268</v>
      </c>
      <c r="D418" s="33" t="str">
        <f>+IFERROR(VLOOKUP(C418,Data,4,FALSE),"Not in data")</f>
        <v>Not in data</v>
      </c>
      <c r="E418" s="34" t="s">
        <v>149</v>
      </c>
      <c r="F418" s="30">
        <v>1</v>
      </c>
      <c r="G418" s="30">
        <v>2</v>
      </c>
      <c r="H418" s="31">
        <v>4.1</v>
      </c>
      <c r="I418" s="40">
        <f t="shared" si="49"/>
        <v>8.2</v>
      </c>
      <c r="J418" s="31" t="str">
        <f>+IFERROR(VLOOKUP(C418,Data,2,FALSE),"Not in weight table")</f>
        <v>Not in weight table</v>
      </c>
      <c r="K418" s="31" t="str">
        <f>+IFERROR(VLOOKUP(C418,Data,3,FALSE),"Not in weight table")</f>
        <v>Not in weight table</v>
      </c>
      <c r="L418" s="44">
        <f t="shared" si="50"/>
        <v>0</v>
      </c>
      <c r="M418" s="42">
        <f t="shared" si="51"/>
        <v>0</v>
      </c>
      <c r="N418" s="43" t="s">
        <v>158</v>
      </c>
      <c r="O418" s="43" t="s">
        <v>158</v>
      </c>
      <c r="P418" s="43" t="s">
        <v>158</v>
      </c>
    </row>
    <row r="419" s="11" customFormat="1" spans="1:16">
      <c r="A419" s="32" t="s">
        <v>250</v>
      </c>
      <c r="B419" s="28" t="s">
        <v>238</v>
      </c>
      <c r="C419" s="28" t="s">
        <v>194</v>
      </c>
      <c r="D419" s="33" t="str">
        <f>+IFERROR(VLOOKUP(C419,Data,4,FALSE),"Not in data")</f>
        <v>T</v>
      </c>
      <c r="E419" s="34" t="s">
        <v>149</v>
      </c>
      <c r="F419" s="30">
        <v>1</v>
      </c>
      <c r="G419" s="30">
        <v>1</v>
      </c>
      <c r="H419" s="31">
        <v>6.3</v>
      </c>
      <c r="I419" s="40">
        <f t="shared" ref="I419:I482" si="52">+IF(F419&lt;&gt;"",F419*G419*H419,0)</f>
        <v>6.3</v>
      </c>
      <c r="J419" s="31">
        <f>+IFERROR(VLOOKUP(C419,Data,2,FALSE),"Not in weight table")</f>
        <v>17.9</v>
      </c>
      <c r="K419" s="31">
        <f>+IFERROR(VLOOKUP(C419,Data,3,FALSE),"Not in weight table")</f>
        <v>0.583</v>
      </c>
      <c r="L419" s="44">
        <f t="shared" ref="L419:L482" si="53">+IF(ISNUMBER(J419),I419*J419/1000,0)</f>
        <v>0.11277</v>
      </c>
      <c r="M419" s="42">
        <f t="shared" ref="M419:M482" si="54">+IF(ISNUMBER(K419),I419*K419,0)</f>
        <v>3.6729</v>
      </c>
      <c r="N419" s="43" t="s">
        <v>158</v>
      </c>
      <c r="O419" s="43" t="s">
        <v>158</v>
      </c>
      <c r="P419" s="43" t="s">
        <v>158</v>
      </c>
    </row>
    <row r="420" s="11" customFormat="1" spans="1:16">
      <c r="A420" s="32" t="s">
        <v>250</v>
      </c>
      <c r="B420" s="28" t="s">
        <v>238</v>
      </c>
      <c r="C420" s="28" t="s">
        <v>194</v>
      </c>
      <c r="D420" s="33" t="str">
        <f>+IFERROR(VLOOKUP(C420,Data,4,FALSE),"Not in data")</f>
        <v>T</v>
      </c>
      <c r="E420" s="34" t="s">
        <v>149</v>
      </c>
      <c r="F420" s="30">
        <v>1</v>
      </c>
      <c r="G420" s="30">
        <v>1</v>
      </c>
      <c r="H420" s="31">
        <v>7.1</v>
      </c>
      <c r="I420" s="40">
        <f t="shared" si="52"/>
        <v>7.1</v>
      </c>
      <c r="J420" s="31">
        <f>+IFERROR(VLOOKUP(C420,Data,2,FALSE),"Not in weight table")</f>
        <v>17.9</v>
      </c>
      <c r="K420" s="31">
        <f>+IFERROR(VLOOKUP(C420,Data,3,FALSE),"Not in weight table")</f>
        <v>0.583</v>
      </c>
      <c r="L420" s="44">
        <f t="shared" si="53"/>
        <v>0.12709</v>
      </c>
      <c r="M420" s="42">
        <f t="shared" si="54"/>
        <v>4.1393</v>
      </c>
      <c r="N420" s="43" t="s">
        <v>158</v>
      </c>
      <c r="O420" s="43" t="s">
        <v>158</v>
      </c>
      <c r="P420" s="43" t="s">
        <v>158</v>
      </c>
    </row>
    <row r="421" s="11" customFormat="1" spans="1:16">
      <c r="A421" s="32" t="s">
        <v>250</v>
      </c>
      <c r="B421" s="28" t="s">
        <v>238</v>
      </c>
      <c r="C421" s="28" t="s">
        <v>194</v>
      </c>
      <c r="D421" s="33" t="str">
        <f>+IFERROR(VLOOKUP(C421,Data,4,FALSE),"Not in data")</f>
        <v>T</v>
      </c>
      <c r="E421" s="34" t="s">
        <v>149</v>
      </c>
      <c r="F421" s="30">
        <v>1</v>
      </c>
      <c r="G421" s="30">
        <v>1</v>
      </c>
      <c r="H421" s="31">
        <v>6.4</v>
      </c>
      <c r="I421" s="40">
        <f t="shared" si="52"/>
        <v>6.4</v>
      </c>
      <c r="J421" s="31">
        <f>+IFERROR(VLOOKUP(C421,Data,2,FALSE),"Not in weight table")</f>
        <v>17.9</v>
      </c>
      <c r="K421" s="31">
        <f>+IFERROR(VLOOKUP(C421,Data,3,FALSE),"Not in weight table")</f>
        <v>0.583</v>
      </c>
      <c r="L421" s="44">
        <f t="shared" si="53"/>
        <v>0.11456</v>
      </c>
      <c r="M421" s="42">
        <f t="shared" si="54"/>
        <v>3.7312</v>
      </c>
      <c r="N421" s="43" t="s">
        <v>158</v>
      </c>
      <c r="O421" s="43" t="s">
        <v>158</v>
      </c>
      <c r="P421" s="43" t="s">
        <v>158</v>
      </c>
    </row>
    <row r="422" s="11" customFormat="1" spans="1:16">
      <c r="A422" s="32" t="s">
        <v>250</v>
      </c>
      <c r="B422" s="28" t="s">
        <v>238</v>
      </c>
      <c r="C422" s="28" t="s">
        <v>194</v>
      </c>
      <c r="D422" s="33" t="str">
        <f>+IFERROR(VLOOKUP(C422,Data,4,FALSE),"Not in data")</f>
        <v>T</v>
      </c>
      <c r="E422" s="34" t="s">
        <v>149</v>
      </c>
      <c r="F422" s="30">
        <v>1</v>
      </c>
      <c r="G422" s="30">
        <v>1</v>
      </c>
      <c r="H422" s="31">
        <v>6.9</v>
      </c>
      <c r="I422" s="40">
        <f t="shared" si="52"/>
        <v>6.9</v>
      </c>
      <c r="J422" s="31">
        <f>+IFERROR(VLOOKUP(C422,Data,2,FALSE),"Not in weight table")</f>
        <v>17.9</v>
      </c>
      <c r="K422" s="31">
        <f>+IFERROR(VLOOKUP(C422,Data,3,FALSE),"Not in weight table")</f>
        <v>0.583</v>
      </c>
      <c r="L422" s="44">
        <f t="shared" si="53"/>
        <v>0.12351</v>
      </c>
      <c r="M422" s="42">
        <f t="shared" si="54"/>
        <v>4.0227</v>
      </c>
      <c r="N422" s="43" t="s">
        <v>158</v>
      </c>
      <c r="O422" s="43" t="s">
        <v>158</v>
      </c>
      <c r="P422" s="43" t="s">
        <v>158</v>
      </c>
    </row>
    <row r="423" s="11" customFormat="1" spans="1:16">
      <c r="A423" s="32" t="s">
        <v>250</v>
      </c>
      <c r="B423" s="28" t="s">
        <v>184</v>
      </c>
      <c r="C423" s="28" t="s">
        <v>185</v>
      </c>
      <c r="D423" s="33" t="str">
        <f>+IFERROR(VLOOKUP(C423,Data,4,FALSE),"Not in data")</f>
        <v>Not in data</v>
      </c>
      <c r="E423" s="34" t="s">
        <v>149</v>
      </c>
      <c r="F423" s="30">
        <v>1</v>
      </c>
      <c r="G423" s="30">
        <v>1</v>
      </c>
      <c r="H423" s="31">
        <v>4.3</v>
      </c>
      <c r="I423" s="40">
        <f t="shared" si="52"/>
        <v>4.3</v>
      </c>
      <c r="J423" s="31" t="str">
        <f>+IFERROR(VLOOKUP(C423,Data,2,FALSE),"Not in weight table")</f>
        <v>Not in weight table</v>
      </c>
      <c r="K423" s="31" t="str">
        <f>+IFERROR(VLOOKUP(C423,Data,3,FALSE),"Not in weight table")</f>
        <v>Not in weight table</v>
      </c>
      <c r="L423" s="44">
        <f t="shared" si="53"/>
        <v>0</v>
      </c>
      <c r="M423" s="42">
        <f t="shared" si="54"/>
        <v>0</v>
      </c>
      <c r="N423" s="43" t="s">
        <v>158</v>
      </c>
      <c r="O423" s="43" t="s">
        <v>158</v>
      </c>
      <c r="P423" s="43" t="s">
        <v>158</v>
      </c>
    </row>
    <row r="424" s="11" customFormat="1" spans="1:16">
      <c r="A424" s="32" t="s">
        <v>250</v>
      </c>
      <c r="B424" s="28" t="s">
        <v>258</v>
      </c>
      <c r="C424" s="28" t="s">
        <v>259</v>
      </c>
      <c r="D424" s="33" t="str">
        <f>+IFERROR(VLOOKUP(C424,Data,4,FALSE),"Not in data")</f>
        <v>Not in data</v>
      </c>
      <c r="E424" s="34" t="s">
        <v>149</v>
      </c>
      <c r="F424" s="30">
        <v>1</v>
      </c>
      <c r="G424" s="30">
        <v>3</v>
      </c>
      <c r="H424" s="31">
        <v>3.7</v>
      </c>
      <c r="I424" s="40">
        <f t="shared" si="52"/>
        <v>11.1</v>
      </c>
      <c r="J424" s="31" t="str">
        <f>+IFERROR(VLOOKUP(C424,Data,2,FALSE),"Not in weight table")</f>
        <v>Not in weight table</v>
      </c>
      <c r="K424" s="31" t="str">
        <f>+IFERROR(VLOOKUP(C424,Data,3,FALSE),"Not in weight table")</f>
        <v>Not in weight table</v>
      </c>
      <c r="L424" s="44">
        <f t="shared" si="53"/>
        <v>0</v>
      </c>
      <c r="M424" s="42">
        <f t="shared" si="54"/>
        <v>0</v>
      </c>
      <c r="N424" s="43" t="s">
        <v>158</v>
      </c>
      <c r="O424" s="43" t="s">
        <v>158</v>
      </c>
      <c r="P424" s="43" t="s">
        <v>158</v>
      </c>
    </row>
    <row r="425" s="11" customFormat="1" spans="1:16">
      <c r="A425" s="32" t="s">
        <v>250</v>
      </c>
      <c r="B425" s="28" t="s">
        <v>269</v>
      </c>
      <c r="C425" s="28" t="s">
        <v>270</v>
      </c>
      <c r="D425" s="33" t="str">
        <f>+IFERROR(VLOOKUP(C425,Data,4,FALSE),"Not in data")</f>
        <v>S</v>
      </c>
      <c r="E425" s="34" t="s">
        <v>149</v>
      </c>
      <c r="F425" s="30">
        <v>1</v>
      </c>
      <c r="G425" s="30">
        <v>1</v>
      </c>
      <c r="H425" s="31">
        <v>17.6</v>
      </c>
      <c r="I425" s="40">
        <f t="shared" si="52"/>
        <v>17.6</v>
      </c>
      <c r="J425" s="31">
        <f>+IFERROR(VLOOKUP(C425,Data,2,FALSE),"Not in weight table")</f>
        <v>101</v>
      </c>
      <c r="K425" s="31">
        <f>+IFERROR(VLOOKUP(C425,Data,3,FALSE),"Not in weight table")</f>
        <v>2.07</v>
      </c>
      <c r="L425" s="44">
        <f t="shared" si="53"/>
        <v>1.7776</v>
      </c>
      <c r="M425" s="42">
        <f t="shared" si="54"/>
        <v>36.432</v>
      </c>
      <c r="N425" s="43" t="s">
        <v>158</v>
      </c>
      <c r="O425" s="43" t="s">
        <v>158</v>
      </c>
      <c r="P425" s="43" t="s">
        <v>158</v>
      </c>
    </row>
    <row r="426" s="11" customFormat="1" spans="1:16">
      <c r="A426" s="32" t="s">
        <v>250</v>
      </c>
      <c r="B426" s="28" t="s">
        <v>271</v>
      </c>
      <c r="C426" s="28" t="s">
        <v>189</v>
      </c>
      <c r="D426" s="33" t="str">
        <f>+IFERROR(VLOOKUP(C426,Data,4,FALSE),"Not in data")</f>
        <v>S</v>
      </c>
      <c r="E426" s="34" t="s">
        <v>149</v>
      </c>
      <c r="F426" s="30">
        <v>1</v>
      </c>
      <c r="G426" s="30">
        <v>1</v>
      </c>
      <c r="H426" s="31">
        <v>5.1</v>
      </c>
      <c r="I426" s="40">
        <f t="shared" si="52"/>
        <v>5.1</v>
      </c>
      <c r="J426" s="31">
        <f>+IFERROR(VLOOKUP(C426,Data,2,FALSE),"Not in weight table")</f>
        <v>22.9</v>
      </c>
      <c r="K426" s="31">
        <f>+IFERROR(VLOOKUP(C426,Data,3,FALSE),"Not in weight table")</f>
        <v>0.668</v>
      </c>
      <c r="L426" s="44">
        <f t="shared" si="53"/>
        <v>0.11679</v>
      </c>
      <c r="M426" s="42">
        <f t="shared" si="54"/>
        <v>3.4068</v>
      </c>
      <c r="N426" s="43" t="s">
        <v>158</v>
      </c>
      <c r="O426" s="43" t="s">
        <v>158</v>
      </c>
      <c r="P426" s="43" t="s">
        <v>158</v>
      </c>
    </row>
    <row r="427" s="11" customFormat="1" spans="1:16">
      <c r="A427" s="32" t="s">
        <v>250</v>
      </c>
      <c r="B427" s="28" t="s">
        <v>244</v>
      </c>
      <c r="C427" s="28" t="s">
        <v>192</v>
      </c>
      <c r="D427" s="33" t="str">
        <f>+IFERROR(VLOOKUP(C427,Data,4,FALSE),"Not in data")</f>
        <v>T</v>
      </c>
      <c r="E427" s="34" t="s">
        <v>149</v>
      </c>
      <c r="F427" s="30">
        <v>1</v>
      </c>
      <c r="G427" s="30">
        <v>2</v>
      </c>
      <c r="H427" s="31">
        <v>0.6</v>
      </c>
      <c r="I427" s="40">
        <f t="shared" si="52"/>
        <v>1.2</v>
      </c>
      <c r="J427" s="31">
        <f>+IFERROR(VLOOKUP(C427,Data,2,FALSE),"Not in weight table")</f>
        <v>14.6</v>
      </c>
      <c r="K427" s="31">
        <f>+IFERROR(VLOOKUP(C427,Data,3,FALSE),"Not in weight table")</f>
        <v>0.33</v>
      </c>
      <c r="L427" s="44">
        <f t="shared" si="53"/>
        <v>0.01752</v>
      </c>
      <c r="M427" s="42">
        <f t="shared" si="54"/>
        <v>0.396</v>
      </c>
      <c r="N427" s="43" t="s">
        <v>158</v>
      </c>
      <c r="O427" s="43" t="s">
        <v>158</v>
      </c>
      <c r="P427" s="43" t="s">
        <v>158</v>
      </c>
    </row>
    <row r="428" s="11" customFormat="1" spans="1:16">
      <c r="A428" s="32" t="s">
        <v>250</v>
      </c>
      <c r="B428" s="28" t="s">
        <v>272</v>
      </c>
      <c r="C428" s="28" t="s">
        <v>192</v>
      </c>
      <c r="D428" s="33" t="str">
        <f>+IFERROR(VLOOKUP(C428,Data,4,FALSE),"Not in data")</f>
        <v>T</v>
      </c>
      <c r="E428" s="34" t="s">
        <v>149</v>
      </c>
      <c r="F428" s="30">
        <v>1</v>
      </c>
      <c r="G428" s="30">
        <v>1</v>
      </c>
      <c r="H428" s="31">
        <v>5.1</v>
      </c>
      <c r="I428" s="40">
        <f t="shared" si="52"/>
        <v>5.1</v>
      </c>
      <c r="J428" s="31">
        <f>+IFERROR(VLOOKUP(C428,Data,2,FALSE),"Not in weight table")</f>
        <v>14.6</v>
      </c>
      <c r="K428" s="31">
        <f>+IFERROR(VLOOKUP(C428,Data,3,FALSE),"Not in weight table")</f>
        <v>0.33</v>
      </c>
      <c r="L428" s="44">
        <f t="shared" si="53"/>
        <v>0.07446</v>
      </c>
      <c r="M428" s="42">
        <f t="shared" si="54"/>
        <v>1.683</v>
      </c>
      <c r="N428" s="43" t="s">
        <v>158</v>
      </c>
      <c r="O428" s="43" t="s">
        <v>158</v>
      </c>
      <c r="P428" s="43" t="s">
        <v>158</v>
      </c>
    </row>
    <row r="429" s="11" customFormat="1" spans="1:16">
      <c r="A429" s="32" t="s">
        <v>250</v>
      </c>
      <c r="B429" s="28" t="s">
        <v>269</v>
      </c>
      <c r="C429" s="28" t="s">
        <v>270</v>
      </c>
      <c r="D429" s="33" t="str">
        <f>+IFERROR(VLOOKUP(C429,Data,4,FALSE),"Not in data")</f>
        <v>S</v>
      </c>
      <c r="E429" s="34" t="s">
        <v>149</v>
      </c>
      <c r="F429" s="30">
        <v>1</v>
      </c>
      <c r="G429" s="30">
        <v>1</v>
      </c>
      <c r="H429" s="31">
        <v>14.5</v>
      </c>
      <c r="I429" s="40">
        <f t="shared" si="52"/>
        <v>14.5</v>
      </c>
      <c r="J429" s="31">
        <f>+IFERROR(VLOOKUP(C429,Data,2,FALSE),"Not in weight table")</f>
        <v>101</v>
      </c>
      <c r="K429" s="31">
        <f>+IFERROR(VLOOKUP(C429,Data,3,FALSE),"Not in weight table")</f>
        <v>2.07</v>
      </c>
      <c r="L429" s="44">
        <f t="shared" si="53"/>
        <v>1.4645</v>
      </c>
      <c r="M429" s="42">
        <f t="shared" si="54"/>
        <v>30.015</v>
      </c>
      <c r="N429" s="43" t="s">
        <v>158</v>
      </c>
      <c r="O429" s="43" t="s">
        <v>158</v>
      </c>
      <c r="P429" s="43" t="s">
        <v>158</v>
      </c>
    </row>
    <row r="430" s="11" customFormat="1" spans="1:16">
      <c r="A430" s="32" t="s">
        <v>250</v>
      </c>
      <c r="B430" s="28" t="s">
        <v>269</v>
      </c>
      <c r="C430" s="28" t="s">
        <v>270</v>
      </c>
      <c r="D430" s="33" t="str">
        <f>+IFERROR(VLOOKUP(C430,Data,4,FALSE),"Not in data")</f>
        <v>S</v>
      </c>
      <c r="E430" s="34" t="s">
        <v>149</v>
      </c>
      <c r="F430" s="30">
        <v>1</v>
      </c>
      <c r="G430" s="30">
        <v>1</v>
      </c>
      <c r="H430" s="31">
        <v>6.4</v>
      </c>
      <c r="I430" s="40">
        <f t="shared" si="52"/>
        <v>6.4</v>
      </c>
      <c r="J430" s="31">
        <f>+IFERROR(VLOOKUP(C430,Data,2,FALSE),"Not in weight table")</f>
        <v>101</v>
      </c>
      <c r="K430" s="31">
        <f>+IFERROR(VLOOKUP(C430,Data,3,FALSE),"Not in weight table")</f>
        <v>2.07</v>
      </c>
      <c r="L430" s="44">
        <f t="shared" si="53"/>
        <v>0.6464</v>
      </c>
      <c r="M430" s="42">
        <f t="shared" si="54"/>
        <v>13.248</v>
      </c>
      <c r="N430" s="43" t="s">
        <v>158</v>
      </c>
      <c r="O430" s="43" t="s">
        <v>158</v>
      </c>
      <c r="P430" s="43" t="s">
        <v>158</v>
      </c>
    </row>
    <row r="431" s="11" customFormat="1" spans="1:16">
      <c r="A431" s="32" t="s">
        <v>250</v>
      </c>
      <c r="B431" s="28" t="s">
        <v>273</v>
      </c>
      <c r="C431" s="28" t="s">
        <v>234</v>
      </c>
      <c r="D431" s="33" t="str">
        <f>+IFERROR(VLOOKUP(C431,Data,4,FALSE),"Not in data")</f>
        <v>S</v>
      </c>
      <c r="E431" s="34" t="s">
        <v>149</v>
      </c>
      <c r="F431" s="30">
        <v>1</v>
      </c>
      <c r="G431" s="30">
        <v>2</v>
      </c>
      <c r="H431" s="31">
        <v>5.9</v>
      </c>
      <c r="I431" s="40">
        <f t="shared" si="52"/>
        <v>11.8</v>
      </c>
      <c r="J431" s="31">
        <f>+IFERROR(VLOOKUP(C431,Data,2,FALSE),"Not in weight table")</f>
        <v>35.5</v>
      </c>
      <c r="K431" s="31">
        <f>+IFERROR(VLOOKUP(C431,Data,3,FALSE),"Not in weight table")</f>
        <v>0.822</v>
      </c>
      <c r="L431" s="44">
        <f t="shared" si="53"/>
        <v>0.4189</v>
      </c>
      <c r="M431" s="42">
        <f t="shared" si="54"/>
        <v>9.6996</v>
      </c>
      <c r="N431" s="43" t="s">
        <v>158</v>
      </c>
      <c r="O431" s="43" t="s">
        <v>158</v>
      </c>
      <c r="P431" s="43" t="s">
        <v>158</v>
      </c>
    </row>
    <row r="432" s="11" customFormat="1" spans="1:16">
      <c r="A432" s="32" t="s">
        <v>250</v>
      </c>
      <c r="B432" s="28" t="s">
        <v>199</v>
      </c>
      <c r="C432" s="28" t="s">
        <v>200</v>
      </c>
      <c r="D432" s="33" t="str">
        <f>+IFERROR(VLOOKUP(C432,Data,4,FALSE),"Not in data")</f>
        <v>Not in data</v>
      </c>
      <c r="E432" s="34" t="s">
        <v>149</v>
      </c>
      <c r="F432" s="30">
        <v>1</v>
      </c>
      <c r="G432" s="30">
        <v>2</v>
      </c>
      <c r="H432" s="31">
        <v>5.9</v>
      </c>
      <c r="I432" s="40">
        <f t="shared" si="52"/>
        <v>11.8</v>
      </c>
      <c r="J432" s="31" t="str">
        <f>+IFERROR(VLOOKUP(C432,Data,2,FALSE),"Not in weight table")</f>
        <v>Not in weight table</v>
      </c>
      <c r="K432" s="31" t="str">
        <f>+IFERROR(VLOOKUP(C432,Data,3,FALSE),"Not in weight table")</f>
        <v>Not in weight table</v>
      </c>
      <c r="L432" s="44">
        <f t="shared" si="53"/>
        <v>0</v>
      </c>
      <c r="M432" s="42">
        <f t="shared" si="54"/>
        <v>0</v>
      </c>
      <c r="N432" s="43" t="s">
        <v>158</v>
      </c>
      <c r="O432" s="43" t="s">
        <v>158</v>
      </c>
      <c r="P432" s="43" t="s">
        <v>158</v>
      </c>
    </row>
    <row r="433" s="11" customFormat="1" spans="1:16">
      <c r="A433" s="32" t="s">
        <v>250</v>
      </c>
      <c r="B433" s="28" t="s">
        <v>274</v>
      </c>
      <c r="C433" s="28" t="s">
        <v>249</v>
      </c>
      <c r="D433" s="33" t="str">
        <f>+IFERROR(VLOOKUP(C433,Data,4,FALSE),"Not in data")</f>
        <v>T</v>
      </c>
      <c r="E433" s="34" t="s">
        <v>149</v>
      </c>
      <c r="F433" s="30">
        <v>1</v>
      </c>
      <c r="G433" s="30">
        <v>2</v>
      </c>
      <c r="H433" s="31">
        <v>7.8</v>
      </c>
      <c r="I433" s="40">
        <f t="shared" si="52"/>
        <v>15.6</v>
      </c>
      <c r="J433" s="31">
        <f>+IFERROR(VLOOKUP(C433,Data,2,FALSE),"Not in weight table")</f>
        <v>22.1</v>
      </c>
      <c r="K433" s="31">
        <f>+IFERROR(VLOOKUP(C433,Data,3,FALSE),"Not in weight table")</f>
        <v>0.579</v>
      </c>
      <c r="L433" s="44">
        <f t="shared" si="53"/>
        <v>0.34476</v>
      </c>
      <c r="M433" s="42">
        <f t="shared" si="54"/>
        <v>9.0324</v>
      </c>
      <c r="N433" s="43" t="s">
        <v>158</v>
      </c>
      <c r="O433" s="43" t="s">
        <v>158</v>
      </c>
      <c r="P433" s="43" t="s">
        <v>158</v>
      </c>
    </row>
    <row r="434" s="11" customFormat="1" spans="1:16">
      <c r="A434" s="32" t="s">
        <v>250</v>
      </c>
      <c r="B434" s="28" t="s">
        <v>274</v>
      </c>
      <c r="C434" s="28" t="s">
        <v>249</v>
      </c>
      <c r="D434" s="33" t="str">
        <f>+IFERROR(VLOOKUP(C434,Data,4,FALSE),"Not in data")</f>
        <v>T</v>
      </c>
      <c r="E434" s="34" t="s">
        <v>149</v>
      </c>
      <c r="F434" s="30">
        <v>1</v>
      </c>
      <c r="G434" s="30">
        <v>2</v>
      </c>
      <c r="H434" s="31">
        <v>7.5</v>
      </c>
      <c r="I434" s="40">
        <f t="shared" si="52"/>
        <v>15</v>
      </c>
      <c r="J434" s="31">
        <f>+IFERROR(VLOOKUP(C434,Data,2,FALSE),"Not in weight table")</f>
        <v>22.1</v>
      </c>
      <c r="K434" s="31">
        <f>+IFERROR(VLOOKUP(C434,Data,3,FALSE),"Not in weight table")</f>
        <v>0.579</v>
      </c>
      <c r="L434" s="44">
        <f t="shared" si="53"/>
        <v>0.3315</v>
      </c>
      <c r="M434" s="42">
        <f t="shared" si="54"/>
        <v>8.685</v>
      </c>
      <c r="N434" s="43" t="s">
        <v>158</v>
      </c>
      <c r="O434" s="43" t="s">
        <v>158</v>
      </c>
      <c r="P434" s="43" t="s">
        <v>158</v>
      </c>
    </row>
    <row r="435" s="11" customFormat="1" spans="1:16">
      <c r="A435" s="32" t="s">
        <v>250</v>
      </c>
      <c r="B435" s="28" t="s">
        <v>274</v>
      </c>
      <c r="C435" s="28" t="s">
        <v>249</v>
      </c>
      <c r="D435" s="33" t="str">
        <f>+IFERROR(VLOOKUP(C435,Data,4,FALSE),"Not in data")</f>
        <v>T</v>
      </c>
      <c r="E435" s="34" t="s">
        <v>149</v>
      </c>
      <c r="F435" s="30">
        <v>1</v>
      </c>
      <c r="G435" s="30">
        <v>1</v>
      </c>
      <c r="H435" s="31">
        <v>8.7</v>
      </c>
      <c r="I435" s="40">
        <f t="shared" si="52"/>
        <v>8.7</v>
      </c>
      <c r="J435" s="31">
        <f>+IFERROR(VLOOKUP(C435,Data,2,FALSE),"Not in weight table")</f>
        <v>22.1</v>
      </c>
      <c r="K435" s="31">
        <f>+IFERROR(VLOOKUP(C435,Data,3,FALSE),"Not in weight table")</f>
        <v>0.579</v>
      </c>
      <c r="L435" s="44">
        <f t="shared" si="53"/>
        <v>0.19227</v>
      </c>
      <c r="M435" s="42">
        <f t="shared" si="54"/>
        <v>5.0373</v>
      </c>
      <c r="N435" s="43" t="s">
        <v>158</v>
      </c>
      <c r="O435" s="43" t="s">
        <v>158</v>
      </c>
      <c r="P435" s="43" t="s">
        <v>158</v>
      </c>
    </row>
    <row r="436" s="11" customFormat="1" spans="1:16">
      <c r="A436" s="32" t="s">
        <v>250</v>
      </c>
      <c r="B436" s="28" t="s">
        <v>274</v>
      </c>
      <c r="C436" s="28" t="s">
        <v>249</v>
      </c>
      <c r="D436" s="33" t="str">
        <f>+IFERROR(VLOOKUP(C436,Data,4,FALSE),"Not in data")</f>
        <v>T</v>
      </c>
      <c r="E436" s="34" t="s">
        <v>149</v>
      </c>
      <c r="F436" s="30">
        <v>1</v>
      </c>
      <c r="G436" s="30">
        <v>1</v>
      </c>
      <c r="H436" s="31">
        <v>7</v>
      </c>
      <c r="I436" s="40">
        <f t="shared" si="52"/>
        <v>7</v>
      </c>
      <c r="J436" s="31">
        <f>+IFERROR(VLOOKUP(C436,Data,2,FALSE),"Not in weight table")</f>
        <v>22.1</v>
      </c>
      <c r="K436" s="31">
        <f>+IFERROR(VLOOKUP(C436,Data,3,FALSE),"Not in weight table")</f>
        <v>0.579</v>
      </c>
      <c r="L436" s="44">
        <f t="shared" si="53"/>
        <v>0.1547</v>
      </c>
      <c r="M436" s="42">
        <f t="shared" si="54"/>
        <v>4.053</v>
      </c>
      <c r="N436" s="43" t="s">
        <v>158</v>
      </c>
      <c r="O436" s="43" t="s">
        <v>158</v>
      </c>
      <c r="P436" s="43" t="s">
        <v>158</v>
      </c>
    </row>
    <row r="437" s="11" customFormat="1" spans="1:16">
      <c r="A437" s="32" t="s">
        <v>250</v>
      </c>
      <c r="B437" s="28" t="s">
        <v>275</v>
      </c>
      <c r="C437" s="28" t="s">
        <v>276</v>
      </c>
      <c r="D437" s="33" t="str">
        <f>+IFERROR(VLOOKUP(C437,Data,4,FALSE),"Not in data")</f>
        <v>Not in data</v>
      </c>
      <c r="E437" s="34" t="s">
        <v>149</v>
      </c>
      <c r="F437" s="30">
        <v>1</v>
      </c>
      <c r="G437" s="30">
        <f>28*2</f>
        <v>56</v>
      </c>
      <c r="H437" s="31">
        <v>6.1</v>
      </c>
      <c r="I437" s="40">
        <f t="shared" si="52"/>
        <v>341.6</v>
      </c>
      <c r="J437" s="31" t="str">
        <f>+IFERROR(VLOOKUP(C437,Data,2,FALSE),"Not in weight table")</f>
        <v>Not in weight table</v>
      </c>
      <c r="K437" s="31" t="str">
        <f>+IFERROR(VLOOKUP(C437,Data,3,FALSE),"Not in weight table")</f>
        <v>Not in weight table</v>
      </c>
      <c r="L437" s="44">
        <f t="shared" si="53"/>
        <v>0</v>
      </c>
      <c r="M437" s="42">
        <f t="shared" si="54"/>
        <v>0</v>
      </c>
      <c r="N437" s="43" t="s">
        <v>158</v>
      </c>
      <c r="O437" s="43" t="s">
        <v>158</v>
      </c>
      <c r="P437" s="43" t="s">
        <v>158</v>
      </c>
    </row>
    <row r="438" s="11" customFormat="1" spans="1:16">
      <c r="A438" s="32" t="s">
        <v>250</v>
      </c>
      <c r="B438" s="28" t="s">
        <v>53</v>
      </c>
      <c r="C438" s="28" t="s">
        <v>276</v>
      </c>
      <c r="D438" s="33" t="str">
        <f>+IFERROR(VLOOKUP(C438,Data,4,FALSE),"Not in data")</f>
        <v>Not in data</v>
      </c>
      <c r="E438" s="34" t="s">
        <v>149</v>
      </c>
      <c r="F438" s="30">
        <v>1</v>
      </c>
      <c r="G438" s="30">
        <v>1</v>
      </c>
      <c r="H438" s="31">
        <v>16.5</v>
      </c>
      <c r="I438" s="40">
        <f t="shared" si="52"/>
        <v>16.5</v>
      </c>
      <c r="J438" s="31" t="str">
        <f>+IFERROR(VLOOKUP(C438,Data,2,FALSE),"Not in weight table")</f>
        <v>Not in weight table</v>
      </c>
      <c r="K438" s="31" t="str">
        <f>+IFERROR(VLOOKUP(C438,Data,3,FALSE),"Not in weight table")</f>
        <v>Not in weight table</v>
      </c>
      <c r="L438" s="44">
        <f t="shared" si="53"/>
        <v>0</v>
      </c>
      <c r="M438" s="42">
        <f t="shared" si="54"/>
        <v>0</v>
      </c>
      <c r="N438" s="43" t="s">
        <v>158</v>
      </c>
      <c r="O438" s="43" t="s">
        <v>158</v>
      </c>
      <c r="P438" s="43" t="s">
        <v>158</v>
      </c>
    </row>
    <row r="439" s="11" customFormat="1" spans="1:16">
      <c r="A439" s="32" t="s">
        <v>250</v>
      </c>
      <c r="B439" s="28" t="s">
        <v>201</v>
      </c>
      <c r="C439" s="28" t="s">
        <v>202</v>
      </c>
      <c r="D439" s="33" t="str">
        <f>+IFERROR(VLOOKUP(C439,Data,4,FALSE),"Not in data")</f>
        <v>T</v>
      </c>
      <c r="E439" s="34" t="s">
        <v>149</v>
      </c>
      <c r="F439" s="30">
        <v>1</v>
      </c>
      <c r="G439" s="30">
        <v>1</v>
      </c>
      <c r="H439" s="31">
        <v>3.1</v>
      </c>
      <c r="I439" s="40">
        <f t="shared" si="52"/>
        <v>3.1</v>
      </c>
      <c r="J439" s="31">
        <f>+IFERROR(VLOOKUP(C439,Data,2,FALSE),"Not in weight table")</f>
        <v>19.4</v>
      </c>
      <c r="K439" s="31">
        <f>+IFERROR(VLOOKUP(C439,Data,3,FALSE),"Not in weight table")</f>
        <v>0.529</v>
      </c>
      <c r="L439" s="44">
        <f t="shared" si="53"/>
        <v>0.06014</v>
      </c>
      <c r="M439" s="42">
        <f t="shared" si="54"/>
        <v>1.6399</v>
      </c>
      <c r="N439" s="43" t="s">
        <v>158</v>
      </c>
      <c r="O439" s="43" t="s">
        <v>158</v>
      </c>
      <c r="P439" s="43" t="s">
        <v>158</v>
      </c>
    </row>
    <row r="440" s="11" customFormat="1" spans="1:16">
      <c r="A440" s="32" t="s">
        <v>250</v>
      </c>
      <c r="B440" s="28" t="s">
        <v>273</v>
      </c>
      <c r="C440" s="28" t="s">
        <v>234</v>
      </c>
      <c r="D440" s="33" t="str">
        <f>+IFERROR(VLOOKUP(C440,Data,4,FALSE),"Not in data")</f>
        <v>S</v>
      </c>
      <c r="E440" s="34" t="s">
        <v>149</v>
      </c>
      <c r="F440" s="30">
        <v>1</v>
      </c>
      <c r="G440" s="30">
        <v>1</v>
      </c>
      <c r="H440" s="31">
        <v>2.9</v>
      </c>
      <c r="I440" s="40">
        <f t="shared" si="52"/>
        <v>2.9</v>
      </c>
      <c r="J440" s="31">
        <f>+IFERROR(VLOOKUP(C440,Data,2,FALSE),"Not in weight table")</f>
        <v>35.5</v>
      </c>
      <c r="K440" s="31">
        <f>+IFERROR(VLOOKUP(C440,Data,3,FALSE),"Not in weight table")</f>
        <v>0.822</v>
      </c>
      <c r="L440" s="44">
        <f t="shared" si="53"/>
        <v>0.10295</v>
      </c>
      <c r="M440" s="42">
        <f t="shared" si="54"/>
        <v>2.3838</v>
      </c>
      <c r="N440" s="43" t="s">
        <v>158</v>
      </c>
      <c r="O440" s="43" t="s">
        <v>158</v>
      </c>
      <c r="P440" s="43" t="s">
        <v>158</v>
      </c>
    </row>
    <row r="441" s="11" customFormat="1" spans="1:16">
      <c r="A441" s="32" t="s">
        <v>250</v>
      </c>
      <c r="B441" s="28" t="s">
        <v>244</v>
      </c>
      <c r="C441" s="28" t="s">
        <v>192</v>
      </c>
      <c r="D441" s="33" t="str">
        <f>+IFERROR(VLOOKUP(C441,Data,4,FALSE),"Not in data")</f>
        <v>T</v>
      </c>
      <c r="E441" s="34" t="s">
        <v>149</v>
      </c>
      <c r="F441" s="30">
        <v>1</v>
      </c>
      <c r="G441" s="30">
        <v>2</v>
      </c>
      <c r="H441" s="31">
        <v>1.5</v>
      </c>
      <c r="I441" s="40">
        <f t="shared" si="52"/>
        <v>3</v>
      </c>
      <c r="J441" s="31">
        <f>+IFERROR(VLOOKUP(C441,Data,2,FALSE),"Not in weight table")</f>
        <v>14.6</v>
      </c>
      <c r="K441" s="31">
        <f>+IFERROR(VLOOKUP(C441,Data,3,FALSE),"Not in weight table")</f>
        <v>0.33</v>
      </c>
      <c r="L441" s="44">
        <f t="shared" si="53"/>
        <v>0.0438</v>
      </c>
      <c r="M441" s="42">
        <f t="shared" si="54"/>
        <v>0.99</v>
      </c>
      <c r="N441" s="43" t="s">
        <v>158</v>
      </c>
      <c r="O441" s="43" t="s">
        <v>158</v>
      </c>
      <c r="P441" s="43" t="s">
        <v>158</v>
      </c>
    </row>
    <row r="442" s="11" customFormat="1" spans="1:16">
      <c r="A442" s="32" t="s">
        <v>250</v>
      </c>
      <c r="B442" s="28" t="s">
        <v>242</v>
      </c>
      <c r="C442" s="28" t="s">
        <v>277</v>
      </c>
      <c r="D442" s="33" t="str">
        <f>+IFERROR(VLOOKUP(C442,Data,4,FALSE),"Not in data")</f>
        <v>Not in data</v>
      </c>
      <c r="E442" s="34" t="s">
        <v>149</v>
      </c>
      <c r="F442" s="30">
        <v>1</v>
      </c>
      <c r="G442" s="30">
        <v>1</v>
      </c>
      <c r="H442" s="31">
        <v>5.7</v>
      </c>
      <c r="I442" s="40">
        <f t="shared" si="52"/>
        <v>5.7</v>
      </c>
      <c r="J442" s="31" t="str">
        <f>+IFERROR(VLOOKUP(C442,Data,2,FALSE),"Not in weight table")</f>
        <v>Not in weight table</v>
      </c>
      <c r="K442" s="31" t="str">
        <f>+IFERROR(VLOOKUP(C442,Data,3,FALSE),"Not in weight table")</f>
        <v>Not in weight table</v>
      </c>
      <c r="L442" s="44">
        <f t="shared" si="53"/>
        <v>0</v>
      </c>
      <c r="M442" s="42">
        <f t="shared" si="54"/>
        <v>0</v>
      </c>
      <c r="N442" s="43" t="s">
        <v>158</v>
      </c>
      <c r="O442" s="43" t="s">
        <v>158</v>
      </c>
      <c r="P442" s="43" t="s">
        <v>158</v>
      </c>
    </row>
    <row r="443" s="11" customFormat="1" spans="1:16">
      <c r="A443" s="32" t="s">
        <v>250</v>
      </c>
      <c r="B443" s="28" t="s">
        <v>206</v>
      </c>
      <c r="C443" s="28" t="s">
        <v>207</v>
      </c>
      <c r="D443" s="33" t="str">
        <f>+IFERROR(VLOOKUP(C443,Data,4,FALSE),"Not in data")</f>
        <v>S</v>
      </c>
      <c r="E443" s="34" t="s">
        <v>149</v>
      </c>
      <c r="F443" s="30">
        <v>1</v>
      </c>
      <c r="G443" s="30">
        <v>1</v>
      </c>
      <c r="H443" s="31">
        <v>6.8</v>
      </c>
      <c r="I443" s="40">
        <f t="shared" si="52"/>
        <v>6.8</v>
      </c>
      <c r="J443" s="31">
        <f>+IFERROR(VLOOKUP(C443,Data,2,FALSE),"Not in weight table")</f>
        <v>4.56</v>
      </c>
      <c r="K443" s="31">
        <f>+IFERROR(VLOOKUP(C443,Data,3,FALSE),"Not in weight table")</f>
        <v>0.255</v>
      </c>
      <c r="L443" s="44">
        <f t="shared" si="53"/>
        <v>0.031008</v>
      </c>
      <c r="M443" s="42">
        <f t="shared" si="54"/>
        <v>1.734</v>
      </c>
      <c r="N443" s="43" t="s">
        <v>158</v>
      </c>
      <c r="O443" s="43" t="s">
        <v>158</v>
      </c>
      <c r="P443" s="43" t="s">
        <v>158</v>
      </c>
    </row>
    <row r="444" s="11" customFormat="1" spans="1:16">
      <c r="A444" s="32" t="s">
        <v>250</v>
      </c>
      <c r="B444" s="28" t="s">
        <v>206</v>
      </c>
      <c r="C444" s="28" t="s">
        <v>207</v>
      </c>
      <c r="D444" s="33" t="str">
        <f>+IFERROR(VLOOKUP(C444,Data,4,FALSE),"Not in data")</f>
        <v>S</v>
      </c>
      <c r="E444" s="34" t="s">
        <v>149</v>
      </c>
      <c r="F444" s="30">
        <v>1</v>
      </c>
      <c r="G444" s="30">
        <v>1</v>
      </c>
      <c r="H444" s="31">
        <v>8.3</v>
      </c>
      <c r="I444" s="40">
        <f t="shared" si="52"/>
        <v>8.3</v>
      </c>
      <c r="J444" s="31">
        <f>+IFERROR(VLOOKUP(C444,Data,2,FALSE),"Not in weight table")</f>
        <v>4.56</v>
      </c>
      <c r="K444" s="31">
        <f>+IFERROR(VLOOKUP(C444,Data,3,FALSE),"Not in weight table")</f>
        <v>0.255</v>
      </c>
      <c r="L444" s="44">
        <f t="shared" si="53"/>
        <v>0.037848</v>
      </c>
      <c r="M444" s="42">
        <f t="shared" si="54"/>
        <v>2.1165</v>
      </c>
      <c r="N444" s="43" t="s">
        <v>158</v>
      </c>
      <c r="O444" s="43" t="s">
        <v>158</v>
      </c>
      <c r="P444" s="43" t="s">
        <v>158</v>
      </c>
    </row>
    <row r="445" s="11" customFormat="1" spans="1:16">
      <c r="A445" s="32" t="s">
        <v>250</v>
      </c>
      <c r="B445" s="28" t="s">
        <v>206</v>
      </c>
      <c r="C445" s="28" t="s">
        <v>207</v>
      </c>
      <c r="D445" s="33" t="str">
        <f>+IFERROR(VLOOKUP(C445,Data,4,FALSE),"Not in data")</f>
        <v>S</v>
      </c>
      <c r="E445" s="34" t="s">
        <v>149</v>
      </c>
      <c r="F445" s="30">
        <v>1</v>
      </c>
      <c r="G445" s="30">
        <v>1</v>
      </c>
      <c r="H445" s="31">
        <v>5.5</v>
      </c>
      <c r="I445" s="40">
        <f t="shared" si="52"/>
        <v>5.5</v>
      </c>
      <c r="J445" s="31">
        <f>+IFERROR(VLOOKUP(C445,Data,2,FALSE),"Not in weight table")</f>
        <v>4.56</v>
      </c>
      <c r="K445" s="31">
        <f>+IFERROR(VLOOKUP(C445,Data,3,FALSE),"Not in weight table")</f>
        <v>0.255</v>
      </c>
      <c r="L445" s="44">
        <f t="shared" si="53"/>
        <v>0.02508</v>
      </c>
      <c r="M445" s="42">
        <f t="shared" si="54"/>
        <v>1.4025</v>
      </c>
      <c r="N445" s="43" t="s">
        <v>158</v>
      </c>
      <c r="O445" s="43" t="s">
        <v>158</v>
      </c>
      <c r="P445" s="43" t="s">
        <v>158</v>
      </c>
    </row>
    <row r="446" s="11" customFormat="1" spans="1:16">
      <c r="A446" s="32" t="s">
        <v>250</v>
      </c>
      <c r="B446" s="28" t="s">
        <v>206</v>
      </c>
      <c r="C446" s="28" t="s">
        <v>207</v>
      </c>
      <c r="D446" s="33" t="str">
        <f>+IFERROR(VLOOKUP(C446,Data,4,FALSE),"Not in data")</f>
        <v>S</v>
      </c>
      <c r="E446" s="34" t="s">
        <v>149</v>
      </c>
      <c r="F446" s="30">
        <v>1</v>
      </c>
      <c r="G446" s="30">
        <v>1</v>
      </c>
      <c r="H446" s="31">
        <v>6.1</v>
      </c>
      <c r="I446" s="40">
        <f t="shared" si="52"/>
        <v>6.1</v>
      </c>
      <c r="J446" s="31">
        <f>+IFERROR(VLOOKUP(C446,Data,2,FALSE),"Not in weight table")</f>
        <v>4.56</v>
      </c>
      <c r="K446" s="31">
        <f>+IFERROR(VLOOKUP(C446,Data,3,FALSE),"Not in weight table")</f>
        <v>0.255</v>
      </c>
      <c r="L446" s="44">
        <f t="shared" si="53"/>
        <v>0.027816</v>
      </c>
      <c r="M446" s="42">
        <f t="shared" si="54"/>
        <v>1.5555</v>
      </c>
      <c r="N446" s="43" t="s">
        <v>158</v>
      </c>
      <c r="O446" s="43" t="s">
        <v>158</v>
      </c>
      <c r="P446" s="43" t="s">
        <v>158</v>
      </c>
    </row>
    <row r="447" s="11" customFormat="1" spans="1:16">
      <c r="A447" s="32" t="s">
        <v>250</v>
      </c>
      <c r="B447" s="28" t="s">
        <v>199</v>
      </c>
      <c r="C447" s="28" t="s">
        <v>200</v>
      </c>
      <c r="D447" s="33" t="str">
        <f>+IFERROR(VLOOKUP(C447,Data,4,FALSE),"Not in data")</f>
        <v>Not in data</v>
      </c>
      <c r="E447" s="34" t="s">
        <v>149</v>
      </c>
      <c r="F447" s="30">
        <v>1</v>
      </c>
      <c r="G447" s="30">
        <v>1</v>
      </c>
      <c r="H447" s="31">
        <v>5</v>
      </c>
      <c r="I447" s="40">
        <f t="shared" si="52"/>
        <v>5</v>
      </c>
      <c r="J447" s="31" t="str">
        <f>+IFERROR(VLOOKUP(C447,Data,2,FALSE),"Not in weight table")</f>
        <v>Not in weight table</v>
      </c>
      <c r="K447" s="31" t="str">
        <f>+IFERROR(VLOOKUP(C447,Data,3,FALSE),"Not in weight table")</f>
        <v>Not in weight table</v>
      </c>
      <c r="L447" s="44">
        <f t="shared" si="53"/>
        <v>0</v>
      </c>
      <c r="M447" s="42">
        <f t="shared" si="54"/>
        <v>0</v>
      </c>
      <c r="N447" s="43" t="s">
        <v>158</v>
      </c>
      <c r="O447" s="43" t="s">
        <v>158</v>
      </c>
      <c r="P447" s="43" t="s">
        <v>158</v>
      </c>
    </row>
    <row r="448" s="11" customFormat="1" spans="1:16">
      <c r="A448" s="32" t="s">
        <v>250</v>
      </c>
      <c r="B448" s="28" t="s">
        <v>271</v>
      </c>
      <c r="C448" s="28" t="s">
        <v>189</v>
      </c>
      <c r="D448" s="33" t="str">
        <f>+IFERROR(VLOOKUP(C448,Data,4,FALSE),"Not in data")</f>
        <v>S</v>
      </c>
      <c r="E448" s="34" t="s">
        <v>149</v>
      </c>
      <c r="F448" s="30">
        <v>1</v>
      </c>
      <c r="G448" s="30">
        <v>1</v>
      </c>
      <c r="H448" s="31">
        <v>3.3</v>
      </c>
      <c r="I448" s="40">
        <f t="shared" si="52"/>
        <v>3.3</v>
      </c>
      <c r="J448" s="31">
        <f>+IFERROR(VLOOKUP(C448,Data,2,FALSE),"Not in weight table")</f>
        <v>22.9</v>
      </c>
      <c r="K448" s="31">
        <f>+IFERROR(VLOOKUP(C448,Data,3,FALSE),"Not in weight table")</f>
        <v>0.668</v>
      </c>
      <c r="L448" s="44">
        <f t="shared" si="53"/>
        <v>0.07557</v>
      </c>
      <c r="M448" s="42">
        <f t="shared" si="54"/>
        <v>2.2044</v>
      </c>
      <c r="N448" s="43" t="s">
        <v>158</v>
      </c>
      <c r="O448" s="43" t="s">
        <v>158</v>
      </c>
      <c r="P448" s="43" t="s">
        <v>158</v>
      </c>
    </row>
    <row r="449" s="11" customFormat="1" spans="1:16">
      <c r="A449" s="32" t="s">
        <v>250</v>
      </c>
      <c r="B449" s="28" t="s">
        <v>271</v>
      </c>
      <c r="C449" s="28" t="s">
        <v>189</v>
      </c>
      <c r="D449" s="33" t="str">
        <f>+IFERROR(VLOOKUP(C449,Data,4,FALSE),"Not in data")</f>
        <v>S</v>
      </c>
      <c r="E449" s="34" t="s">
        <v>149</v>
      </c>
      <c r="F449" s="30">
        <v>1</v>
      </c>
      <c r="G449" s="30">
        <v>1</v>
      </c>
      <c r="H449" s="31">
        <v>6.3</v>
      </c>
      <c r="I449" s="40">
        <f t="shared" si="52"/>
        <v>6.3</v>
      </c>
      <c r="J449" s="31">
        <f>+IFERROR(VLOOKUP(C449,Data,2,FALSE),"Not in weight table")</f>
        <v>22.9</v>
      </c>
      <c r="K449" s="31">
        <f>+IFERROR(VLOOKUP(C449,Data,3,FALSE),"Not in weight table")</f>
        <v>0.668</v>
      </c>
      <c r="L449" s="44">
        <f t="shared" si="53"/>
        <v>0.14427</v>
      </c>
      <c r="M449" s="42">
        <f t="shared" si="54"/>
        <v>4.2084</v>
      </c>
      <c r="N449" s="43" t="s">
        <v>158</v>
      </c>
      <c r="O449" s="43" t="s">
        <v>158</v>
      </c>
      <c r="P449" s="43" t="s">
        <v>158</v>
      </c>
    </row>
    <row r="450" s="11" customFormat="1" spans="1:16">
      <c r="A450" s="32" t="s">
        <v>250</v>
      </c>
      <c r="B450" s="28" t="s">
        <v>229</v>
      </c>
      <c r="C450" s="28" t="s">
        <v>230</v>
      </c>
      <c r="D450" s="33" t="str">
        <f>+IFERROR(VLOOKUP(C450,Data,4,FALSE),"Not in data")</f>
        <v>S</v>
      </c>
      <c r="E450" s="34" t="s">
        <v>149</v>
      </c>
      <c r="F450" s="30">
        <v>1</v>
      </c>
      <c r="G450" s="30">
        <v>4</v>
      </c>
      <c r="H450" s="31">
        <v>2.1</v>
      </c>
      <c r="I450" s="40">
        <f t="shared" si="52"/>
        <v>8.4</v>
      </c>
      <c r="J450" s="31">
        <f>+IFERROR(VLOOKUP(C450,Data,2,FALSE),"Not in weight table")</f>
        <v>46.2</v>
      </c>
      <c r="K450" s="31">
        <f>+IFERROR(VLOOKUP(C450,Data,3,FALSE),"Not in weight table")</f>
        <v>1.19</v>
      </c>
      <c r="L450" s="44">
        <f t="shared" si="53"/>
        <v>0.38808</v>
      </c>
      <c r="M450" s="42">
        <f t="shared" si="54"/>
        <v>9.996</v>
      </c>
      <c r="N450" s="43" t="s">
        <v>158</v>
      </c>
      <c r="O450" s="43" t="s">
        <v>158</v>
      </c>
      <c r="P450" s="43" t="s">
        <v>158</v>
      </c>
    </row>
    <row r="451" s="11" customFormat="1" spans="1:16">
      <c r="A451" s="32" t="s">
        <v>250</v>
      </c>
      <c r="B451" s="28" t="s">
        <v>239</v>
      </c>
      <c r="C451" s="28" t="s">
        <v>240</v>
      </c>
      <c r="D451" s="33" t="str">
        <f>+IFERROR(VLOOKUP(C451,Data,4,FALSE),"Not in data")</f>
        <v>S</v>
      </c>
      <c r="E451" s="34" t="s">
        <v>149</v>
      </c>
      <c r="F451" s="30">
        <v>1</v>
      </c>
      <c r="G451" s="30">
        <v>1</v>
      </c>
      <c r="H451" s="31">
        <v>14.1</v>
      </c>
      <c r="I451" s="40">
        <f t="shared" si="52"/>
        <v>14.1</v>
      </c>
      <c r="J451" s="31">
        <f>+IFERROR(VLOOKUP(C451,Data,2,FALSE),"Not in weight table")</f>
        <v>44.7</v>
      </c>
      <c r="K451" s="31">
        <f>+IFERROR(VLOOKUP(C451,Data,3,FALSE),"Not in weight table")</f>
        <v>1.36</v>
      </c>
      <c r="L451" s="44">
        <f t="shared" si="53"/>
        <v>0.63027</v>
      </c>
      <c r="M451" s="42">
        <f t="shared" si="54"/>
        <v>19.176</v>
      </c>
      <c r="N451" s="43" t="s">
        <v>158</v>
      </c>
      <c r="O451" s="43" t="s">
        <v>158</v>
      </c>
      <c r="P451" s="43" t="s">
        <v>158</v>
      </c>
    </row>
    <row r="452" s="11" customFormat="1" spans="1:16">
      <c r="A452" s="32" t="s">
        <v>250</v>
      </c>
      <c r="B452" s="28" t="s">
        <v>271</v>
      </c>
      <c r="C452" s="28" t="s">
        <v>189</v>
      </c>
      <c r="D452" s="33" t="str">
        <f>+IFERROR(VLOOKUP(C452,Data,4,FALSE),"Not in data")</f>
        <v>S</v>
      </c>
      <c r="E452" s="34" t="s">
        <v>149</v>
      </c>
      <c r="F452" s="30">
        <v>1</v>
      </c>
      <c r="G452" s="30">
        <v>1</v>
      </c>
      <c r="H452" s="31">
        <v>4.9</v>
      </c>
      <c r="I452" s="40">
        <f t="shared" si="52"/>
        <v>4.9</v>
      </c>
      <c r="J452" s="31">
        <f>+IFERROR(VLOOKUP(C452,Data,2,FALSE),"Not in weight table")</f>
        <v>22.9</v>
      </c>
      <c r="K452" s="31">
        <f>+IFERROR(VLOOKUP(C452,Data,3,FALSE),"Not in weight table")</f>
        <v>0.668</v>
      </c>
      <c r="L452" s="44">
        <f t="shared" si="53"/>
        <v>0.11221</v>
      </c>
      <c r="M452" s="42">
        <f t="shared" si="54"/>
        <v>3.2732</v>
      </c>
      <c r="N452" s="43" t="s">
        <v>158</v>
      </c>
      <c r="O452" s="43" t="s">
        <v>158</v>
      </c>
      <c r="P452" s="43" t="s">
        <v>158</v>
      </c>
    </row>
    <row r="453" s="11" customFormat="1" spans="1:16">
      <c r="A453" s="32" t="s">
        <v>250</v>
      </c>
      <c r="B453" s="28" t="s">
        <v>271</v>
      </c>
      <c r="C453" s="28" t="s">
        <v>189</v>
      </c>
      <c r="D453" s="33" t="str">
        <f>+IFERROR(VLOOKUP(C453,Data,4,FALSE),"Not in data")</f>
        <v>S</v>
      </c>
      <c r="E453" s="34" t="s">
        <v>149</v>
      </c>
      <c r="F453" s="30">
        <v>1</v>
      </c>
      <c r="G453" s="30">
        <v>1</v>
      </c>
      <c r="H453" s="31">
        <v>8.1</v>
      </c>
      <c r="I453" s="40">
        <f t="shared" si="52"/>
        <v>8.1</v>
      </c>
      <c r="J453" s="31">
        <f>+IFERROR(VLOOKUP(C453,Data,2,FALSE),"Not in weight table")</f>
        <v>22.9</v>
      </c>
      <c r="K453" s="31">
        <f>+IFERROR(VLOOKUP(C453,Data,3,FALSE),"Not in weight table")</f>
        <v>0.668</v>
      </c>
      <c r="L453" s="44">
        <f t="shared" si="53"/>
        <v>0.18549</v>
      </c>
      <c r="M453" s="42">
        <f t="shared" si="54"/>
        <v>5.4108</v>
      </c>
      <c r="N453" s="43" t="s">
        <v>158</v>
      </c>
      <c r="O453" s="43" t="s">
        <v>158</v>
      </c>
      <c r="P453" s="43" t="s">
        <v>158</v>
      </c>
    </row>
    <row r="454" s="11" customFormat="1" spans="1:16">
      <c r="A454" s="32" t="s">
        <v>250</v>
      </c>
      <c r="B454" s="28" t="s">
        <v>271</v>
      </c>
      <c r="C454" s="28" t="s">
        <v>189</v>
      </c>
      <c r="D454" s="33" t="str">
        <f>+IFERROR(VLOOKUP(C454,Data,4,FALSE),"Not in data")</f>
        <v>S</v>
      </c>
      <c r="E454" s="34" t="s">
        <v>149</v>
      </c>
      <c r="F454" s="30">
        <v>1</v>
      </c>
      <c r="G454" s="30">
        <v>1</v>
      </c>
      <c r="H454" s="31">
        <v>7.2</v>
      </c>
      <c r="I454" s="40">
        <f t="shared" si="52"/>
        <v>7.2</v>
      </c>
      <c r="J454" s="31">
        <f>+IFERROR(VLOOKUP(C454,Data,2,FALSE),"Not in weight table")</f>
        <v>22.9</v>
      </c>
      <c r="K454" s="31">
        <f>+IFERROR(VLOOKUP(C454,Data,3,FALSE),"Not in weight table")</f>
        <v>0.668</v>
      </c>
      <c r="L454" s="44">
        <f t="shared" si="53"/>
        <v>0.16488</v>
      </c>
      <c r="M454" s="42">
        <f t="shared" si="54"/>
        <v>4.8096</v>
      </c>
      <c r="N454" s="43" t="s">
        <v>158</v>
      </c>
      <c r="O454" s="43" t="s">
        <v>158</v>
      </c>
      <c r="P454" s="43" t="s">
        <v>158</v>
      </c>
    </row>
    <row r="455" s="11" customFormat="1" spans="1:16">
      <c r="A455" s="32" t="s">
        <v>250</v>
      </c>
      <c r="B455" s="28" t="s">
        <v>271</v>
      </c>
      <c r="C455" s="28" t="s">
        <v>189</v>
      </c>
      <c r="D455" s="33" t="str">
        <f>+IFERROR(VLOOKUP(C455,Data,4,FALSE),"Not in data")</f>
        <v>S</v>
      </c>
      <c r="E455" s="34" t="s">
        <v>149</v>
      </c>
      <c r="F455" s="30">
        <v>1</v>
      </c>
      <c r="G455" s="30">
        <v>1</v>
      </c>
      <c r="H455" s="31">
        <v>6.4</v>
      </c>
      <c r="I455" s="40">
        <f t="shared" si="52"/>
        <v>6.4</v>
      </c>
      <c r="J455" s="31">
        <f>+IFERROR(VLOOKUP(C455,Data,2,FALSE),"Not in weight table")</f>
        <v>22.9</v>
      </c>
      <c r="K455" s="31">
        <f>+IFERROR(VLOOKUP(C455,Data,3,FALSE),"Not in weight table")</f>
        <v>0.668</v>
      </c>
      <c r="L455" s="44">
        <f t="shared" si="53"/>
        <v>0.14656</v>
      </c>
      <c r="M455" s="42">
        <f t="shared" si="54"/>
        <v>4.2752</v>
      </c>
      <c r="N455" s="43" t="s">
        <v>158</v>
      </c>
      <c r="O455" s="43" t="s">
        <v>158</v>
      </c>
      <c r="P455" s="43" t="s">
        <v>158</v>
      </c>
    </row>
    <row r="456" s="11" customFormat="1" spans="1:16">
      <c r="A456" s="32" t="s">
        <v>250</v>
      </c>
      <c r="B456" s="28" t="s">
        <v>271</v>
      </c>
      <c r="C456" s="28" t="s">
        <v>189</v>
      </c>
      <c r="D456" s="33" t="str">
        <f>+IFERROR(VLOOKUP(C456,Data,4,FALSE),"Not in data")</f>
        <v>S</v>
      </c>
      <c r="E456" s="34" t="s">
        <v>149</v>
      </c>
      <c r="F456" s="30">
        <v>1</v>
      </c>
      <c r="G456" s="30">
        <v>1</v>
      </c>
      <c r="H456" s="31">
        <v>6.6</v>
      </c>
      <c r="I456" s="40">
        <f t="shared" si="52"/>
        <v>6.6</v>
      </c>
      <c r="J456" s="31">
        <f>+IFERROR(VLOOKUP(C456,Data,2,FALSE),"Not in weight table")</f>
        <v>22.9</v>
      </c>
      <c r="K456" s="31">
        <f>+IFERROR(VLOOKUP(C456,Data,3,FALSE),"Not in weight table")</f>
        <v>0.668</v>
      </c>
      <c r="L456" s="44">
        <f t="shared" si="53"/>
        <v>0.15114</v>
      </c>
      <c r="M456" s="42">
        <f t="shared" si="54"/>
        <v>4.4088</v>
      </c>
      <c r="N456" s="43" t="s">
        <v>158</v>
      </c>
      <c r="O456" s="43" t="s">
        <v>158</v>
      </c>
      <c r="P456" s="43" t="s">
        <v>158</v>
      </c>
    </row>
    <row r="457" s="11" customFormat="1" spans="1:16">
      <c r="A457" s="32" t="s">
        <v>250</v>
      </c>
      <c r="B457" s="28" t="s">
        <v>271</v>
      </c>
      <c r="C457" s="28" t="s">
        <v>189</v>
      </c>
      <c r="D457" s="33" t="str">
        <f>+IFERROR(VLOOKUP(C457,Data,4,FALSE),"Not in data")</f>
        <v>S</v>
      </c>
      <c r="E457" s="34" t="s">
        <v>149</v>
      </c>
      <c r="F457" s="30">
        <v>1</v>
      </c>
      <c r="G457" s="30">
        <v>1</v>
      </c>
      <c r="H457" s="31">
        <v>5.4</v>
      </c>
      <c r="I457" s="40">
        <f t="shared" si="52"/>
        <v>5.4</v>
      </c>
      <c r="J457" s="31">
        <f>+IFERROR(VLOOKUP(C457,Data,2,FALSE),"Not in weight table")</f>
        <v>22.9</v>
      </c>
      <c r="K457" s="31">
        <f>+IFERROR(VLOOKUP(C457,Data,3,FALSE),"Not in weight table")</f>
        <v>0.668</v>
      </c>
      <c r="L457" s="44">
        <f t="shared" si="53"/>
        <v>0.12366</v>
      </c>
      <c r="M457" s="42">
        <f t="shared" si="54"/>
        <v>3.6072</v>
      </c>
      <c r="N457" s="43" t="s">
        <v>158</v>
      </c>
      <c r="O457" s="43" t="s">
        <v>158</v>
      </c>
      <c r="P457" s="43" t="s">
        <v>158</v>
      </c>
    </row>
    <row r="458" s="11" customFormat="1" spans="1:16">
      <c r="A458" s="32" t="s">
        <v>250</v>
      </c>
      <c r="B458" s="28" t="s">
        <v>271</v>
      </c>
      <c r="C458" s="28" t="s">
        <v>189</v>
      </c>
      <c r="D458" s="33" t="str">
        <f>+IFERROR(VLOOKUP(C458,Data,4,FALSE),"Not in data")</f>
        <v>S</v>
      </c>
      <c r="E458" s="34" t="s">
        <v>149</v>
      </c>
      <c r="F458" s="30">
        <v>1</v>
      </c>
      <c r="G458" s="30">
        <v>1</v>
      </c>
      <c r="H458" s="31">
        <v>8.3</v>
      </c>
      <c r="I458" s="40">
        <f t="shared" si="52"/>
        <v>8.3</v>
      </c>
      <c r="J458" s="31">
        <f>+IFERROR(VLOOKUP(C458,Data,2,FALSE),"Not in weight table")</f>
        <v>22.9</v>
      </c>
      <c r="K458" s="31">
        <f>+IFERROR(VLOOKUP(C458,Data,3,FALSE),"Not in weight table")</f>
        <v>0.668</v>
      </c>
      <c r="L458" s="44">
        <f t="shared" si="53"/>
        <v>0.19007</v>
      </c>
      <c r="M458" s="42">
        <f t="shared" si="54"/>
        <v>5.5444</v>
      </c>
      <c r="N458" s="43" t="s">
        <v>158</v>
      </c>
      <c r="O458" s="43" t="s">
        <v>158</v>
      </c>
      <c r="P458" s="43" t="s">
        <v>158</v>
      </c>
    </row>
    <row r="459" s="11" customFormat="1" spans="1:16">
      <c r="A459" s="32" t="s">
        <v>250</v>
      </c>
      <c r="B459" s="28" t="s">
        <v>271</v>
      </c>
      <c r="C459" s="28" t="s">
        <v>189</v>
      </c>
      <c r="D459" s="33" t="str">
        <f>+IFERROR(VLOOKUP(C459,Data,4,FALSE),"Not in data")</f>
        <v>S</v>
      </c>
      <c r="E459" s="34" t="s">
        <v>149</v>
      </c>
      <c r="F459" s="30">
        <v>1</v>
      </c>
      <c r="G459" s="30">
        <v>1</v>
      </c>
      <c r="H459" s="31">
        <v>7.5</v>
      </c>
      <c r="I459" s="40">
        <f t="shared" si="52"/>
        <v>7.5</v>
      </c>
      <c r="J459" s="31">
        <f>+IFERROR(VLOOKUP(C459,Data,2,FALSE),"Not in weight table")</f>
        <v>22.9</v>
      </c>
      <c r="K459" s="31">
        <f>+IFERROR(VLOOKUP(C459,Data,3,FALSE),"Not in weight table")</f>
        <v>0.668</v>
      </c>
      <c r="L459" s="44">
        <f t="shared" si="53"/>
        <v>0.17175</v>
      </c>
      <c r="M459" s="42">
        <f t="shared" si="54"/>
        <v>5.01</v>
      </c>
      <c r="N459" s="43" t="s">
        <v>158</v>
      </c>
      <c r="O459" s="43" t="s">
        <v>158</v>
      </c>
      <c r="P459" s="43" t="s">
        <v>158</v>
      </c>
    </row>
    <row r="460" s="11" customFormat="1" spans="1:16">
      <c r="A460" s="32" t="s">
        <v>250</v>
      </c>
      <c r="B460" s="28" t="s">
        <v>271</v>
      </c>
      <c r="C460" s="28" t="s">
        <v>189</v>
      </c>
      <c r="D460" s="33" t="str">
        <f>+IFERROR(VLOOKUP(C460,Data,4,FALSE),"Not in data")</f>
        <v>S</v>
      </c>
      <c r="E460" s="34" t="s">
        <v>149</v>
      </c>
      <c r="F460" s="30">
        <v>1</v>
      </c>
      <c r="G460" s="30">
        <v>1</v>
      </c>
      <c r="H460" s="31">
        <v>4.1</v>
      </c>
      <c r="I460" s="40">
        <f t="shared" si="52"/>
        <v>4.1</v>
      </c>
      <c r="J460" s="31">
        <f>+IFERROR(VLOOKUP(C460,Data,2,FALSE),"Not in weight table")</f>
        <v>22.9</v>
      </c>
      <c r="K460" s="31">
        <f>+IFERROR(VLOOKUP(C460,Data,3,FALSE),"Not in weight table")</f>
        <v>0.668</v>
      </c>
      <c r="L460" s="44">
        <f t="shared" si="53"/>
        <v>0.09389</v>
      </c>
      <c r="M460" s="42">
        <f t="shared" si="54"/>
        <v>2.7388</v>
      </c>
      <c r="N460" s="43" t="s">
        <v>158</v>
      </c>
      <c r="O460" s="43" t="s">
        <v>158</v>
      </c>
      <c r="P460" s="43" t="s">
        <v>158</v>
      </c>
    </row>
    <row r="461" s="11" customFormat="1" spans="1:16">
      <c r="A461" s="32" t="s">
        <v>250</v>
      </c>
      <c r="B461" s="28" t="s">
        <v>199</v>
      </c>
      <c r="C461" s="28" t="s">
        <v>200</v>
      </c>
      <c r="D461" s="33" t="str">
        <f>+IFERROR(VLOOKUP(C461,Data,4,FALSE),"Not in data")</f>
        <v>Not in data</v>
      </c>
      <c r="E461" s="34" t="s">
        <v>149</v>
      </c>
      <c r="F461" s="30">
        <v>1</v>
      </c>
      <c r="G461" s="30">
        <v>1</v>
      </c>
      <c r="H461" s="31">
        <v>13.4</v>
      </c>
      <c r="I461" s="40">
        <f t="shared" si="52"/>
        <v>13.4</v>
      </c>
      <c r="J461" s="31" t="str">
        <f>+IFERROR(VLOOKUP(C461,Data,2,FALSE),"Not in weight table")</f>
        <v>Not in weight table</v>
      </c>
      <c r="K461" s="31" t="str">
        <f>+IFERROR(VLOOKUP(C461,Data,3,FALSE),"Not in weight table")</f>
        <v>Not in weight table</v>
      </c>
      <c r="L461" s="44">
        <f t="shared" si="53"/>
        <v>0</v>
      </c>
      <c r="M461" s="42">
        <f t="shared" si="54"/>
        <v>0</v>
      </c>
      <c r="N461" s="43" t="s">
        <v>158</v>
      </c>
      <c r="O461" s="43" t="s">
        <v>158</v>
      </c>
      <c r="P461" s="43" t="s">
        <v>158</v>
      </c>
    </row>
    <row r="462" s="11" customFormat="1" spans="1:16">
      <c r="A462" s="32" t="s">
        <v>250</v>
      </c>
      <c r="B462" s="28" t="s">
        <v>278</v>
      </c>
      <c r="C462" s="28" t="s">
        <v>279</v>
      </c>
      <c r="D462" s="33" t="str">
        <f>+IFERROR(VLOOKUP(C462,Data,4,FALSE),"Not in data")</f>
        <v>S</v>
      </c>
      <c r="E462" s="34" t="s">
        <v>149</v>
      </c>
      <c r="F462" s="30">
        <v>1</v>
      </c>
      <c r="G462" s="30">
        <v>1</v>
      </c>
      <c r="H462" s="31">
        <v>4.8</v>
      </c>
      <c r="I462" s="40">
        <f t="shared" si="52"/>
        <v>4.8</v>
      </c>
      <c r="J462" s="31">
        <f>+IFERROR(VLOOKUP(C462,Data,2,FALSE),"Not in weight table")</f>
        <v>40.1</v>
      </c>
      <c r="K462" s="31">
        <f>+IFERROR(VLOOKUP(C462,Data,3,FALSE),"Not in weight table")</f>
        <v>0.92</v>
      </c>
      <c r="L462" s="44">
        <f t="shared" si="53"/>
        <v>0.19248</v>
      </c>
      <c r="M462" s="42">
        <f t="shared" si="54"/>
        <v>4.416</v>
      </c>
      <c r="N462" s="43" t="s">
        <v>158</v>
      </c>
      <c r="O462" s="43" t="s">
        <v>158</v>
      </c>
      <c r="P462" s="43" t="s">
        <v>158</v>
      </c>
    </row>
    <row r="463" s="11" customFormat="1" spans="1:16">
      <c r="A463" s="32" t="s">
        <v>250</v>
      </c>
      <c r="B463" s="28" t="s">
        <v>278</v>
      </c>
      <c r="C463" s="28" t="s">
        <v>279</v>
      </c>
      <c r="D463" s="33" t="str">
        <f>+IFERROR(VLOOKUP(C463,Data,4,FALSE),"Not in data")</f>
        <v>S</v>
      </c>
      <c r="E463" s="34" t="s">
        <v>149</v>
      </c>
      <c r="F463" s="30">
        <v>1</v>
      </c>
      <c r="G463" s="30">
        <v>1</v>
      </c>
      <c r="H463" s="31">
        <v>2.5</v>
      </c>
      <c r="I463" s="40">
        <f t="shared" si="52"/>
        <v>2.5</v>
      </c>
      <c r="J463" s="31">
        <f>+IFERROR(VLOOKUP(C463,Data,2,FALSE),"Not in weight table")</f>
        <v>40.1</v>
      </c>
      <c r="K463" s="31">
        <f>+IFERROR(VLOOKUP(C463,Data,3,FALSE),"Not in weight table")</f>
        <v>0.92</v>
      </c>
      <c r="L463" s="44">
        <f t="shared" si="53"/>
        <v>0.10025</v>
      </c>
      <c r="M463" s="42">
        <f t="shared" si="54"/>
        <v>2.3</v>
      </c>
      <c r="N463" s="43" t="s">
        <v>158</v>
      </c>
      <c r="O463" s="43" t="s">
        <v>158</v>
      </c>
      <c r="P463" s="43" t="s">
        <v>158</v>
      </c>
    </row>
    <row r="464" s="11" customFormat="1" spans="1:16">
      <c r="A464" s="32" t="s">
        <v>250</v>
      </c>
      <c r="B464" s="28" t="s">
        <v>206</v>
      </c>
      <c r="C464" s="28" t="s">
        <v>207</v>
      </c>
      <c r="D464" s="33" t="str">
        <f>+IFERROR(VLOOKUP(C464,Data,4,FALSE),"Not in data")</f>
        <v>S</v>
      </c>
      <c r="E464" s="34" t="s">
        <v>149</v>
      </c>
      <c r="F464" s="30">
        <v>1</v>
      </c>
      <c r="G464" s="30">
        <v>1</v>
      </c>
      <c r="H464" s="31">
        <v>13.9</v>
      </c>
      <c r="I464" s="40">
        <f t="shared" si="52"/>
        <v>13.9</v>
      </c>
      <c r="J464" s="31">
        <f>+IFERROR(VLOOKUP(C464,Data,2,FALSE),"Not in weight table")</f>
        <v>4.56</v>
      </c>
      <c r="K464" s="31">
        <f>+IFERROR(VLOOKUP(C464,Data,3,FALSE),"Not in weight table")</f>
        <v>0.255</v>
      </c>
      <c r="L464" s="44">
        <f t="shared" si="53"/>
        <v>0.063384</v>
      </c>
      <c r="M464" s="42">
        <f t="shared" si="54"/>
        <v>3.5445</v>
      </c>
      <c r="N464" s="43" t="s">
        <v>158</v>
      </c>
      <c r="O464" s="43" t="s">
        <v>158</v>
      </c>
      <c r="P464" s="43" t="s">
        <v>158</v>
      </c>
    </row>
    <row r="465" s="11" customFormat="1" spans="1:16">
      <c r="A465" s="32" t="s">
        <v>250</v>
      </c>
      <c r="B465" s="28" t="s">
        <v>206</v>
      </c>
      <c r="C465" s="28" t="s">
        <v>207</v>
      </c>
      <c r="D465" s="33" t="str">
        <f>+IFERROR(VLOOKUP(C465,Data,4,FALSE),"Not in data")</f>
        <v>S</v>
      </c>
      <c r="E465" s="34" t="s">
        <v>149</v>
      </c>
      <c r="F465" s="30">
        <v>1</v>
      </c>
      <c r="G465" s="30">
        <v>1</v>
      </c>
      <c r="H465" s="31">
        <v>12.3</v>
      </c>
      <c r="I465" s="40">
        <f t="shared" si="52"/>
        <v>12.3</v>
      </c>
      <c r="J465" s="31">
        <f>+IFERROR(VLOOKUP(C465,Data,2,FALSE),"Not in weight table")</f>
        <v>4.56</v>
      </c>
      <c r="K465" s="31">
        <f>+IFERROR(VLOOKUP(C465,Data,3,FALSE),"Not in weight table")</f>
        <v>0.255</v>
      </c>
      <c r="L465" s="44">
        <f t="shared" si="53"/>
        <v>0.056088</v>
      </c>
      <c r="M465" s="42">
        <f t="shared" si="54"/>
        <v>3.1365</v>
      </c>
      <c r="N465" s="43" t="s">
        <v>158</v>
      </c>
      <c r="O465" s="43" t="s">
        <v>158</v>
      </c>
      <c r="P465" s="43" t="s">
        <v>158</v>
      </c>
    </row>
    <row r="466" s="11" customFormat="1" spans="1:16">
      <c r="A466" s="32" t="s">
        <v>250</v>
      </c>
      <c r="B466" s="28" t="s">
        <v>201</v>
      </c>
      <c r="C466" s="28" t="s">
        <v>202</v>
      </c>
      <c r="D466" s="33" t="str">
        <f>+IFERROR(VLOOKUP(C466,Data,4,FALSE),"Not in data")</f>
        <v>T</v>
      </c>
      <c r="E466" s="34" t="s">
        <v>149</v>
      </c>
      <c r="F466" s="30">
        <v>1</v>
      </c>
      <c r="G466" s="30">
        <v>1</v>
      </c>
      <c r="H466" s="31">
        <v>8.3</v>
      </c>
      <c r="I466" s="40">
        <f t="shared" si="52"/>
        <v>8.3</v>
      </c>
      <c r="J466" s="31">
        <f>+IFERROR(VLOOKUP(C466,Data,2,FALSE),"Not in weight table")</f>
        <v>19.4</v>
      </c>
      <c r="K466" s="31">
        <f>+IFERROR(VLOOKUP(C466,Data,3,FALSE),"Not in weight table")</f>
        <v>0.529</v>
      </c>
      <c r="L466" s="44">
        <f t="shared" si="53"/>
        <v>0.16102</v>
      </c>
      <c r="M466" s="42">
        <f t="shared" si="54"/>
        <v>4.3907</v>
      </c>
      <c r="N466" s="43" t="s">
        <v>158</v>
      </c>
      <c r="O466" s="43" t="s">
        <v>158</v>
      </c>
      <c r="P466" s="43" t="s">
        <v>158</v>
      </c>
    </row>
    <row r="467" s="11" customFormat="1" spans="1:16">
      <c r="A467" s="32" t="s">
        <v>250</v>
      </c>
      <c r="B467" s="28" t="s">
        <v>196</v>
      </c>
      <c r="C467" s="28" t="s">
        <v>189</v>
      </c>
      <c r="D467" s="33" t="str">
        <f>+IFERROR(VLOOKUP(C467,Data,4,FALSE),"Not in data")</f>
        <v>S</v>
      </c>
      <c r="E467" s="34" t="s">
        <v>149</v>
      </c>
      <c r="F467" s="30">
        <v>1</v>
      </c>
      <c r="G467" s="30">
        <v>1</v>
      </c>
      <c r="H467" s="31">
        <v>8.3</v>
      </c>
      <c r="I467" s="40">
        <f t="shared" si="52"/>
        <v>8.3</v>
      </c>
      <c r="J467" s="31">
        <f>+IFERROR(VLOOKUP(C467,Data,2,FALSE),"Not in weight table")</f>
        <v>22.9</v>
      </c>
      <c r="K467" s="31">
        <f>+IFERROR(VLOOKUP(C467,Data,3,FALSE),"Not in weight table")</f>
        <v>0.668</v>
      </c>
      <c r="L467" s="44">
        <f t="shared" si="53"/>
        <v>0.19007</v>
      </c>
      <c r="M467" s="42">
        <f t="shared" si="54"/>
        <v>5.5444</v>
      </c>
      <c r="N467" s="43" t="s">
        <v>158</v>
      </c>
      <c r="O467" s="43" t="s">
        <v>158</v>
      </c>
      <c r="P467" s="43" t="s">
        <v>158</v>
      </c>
    </row>
    <row r="468" s="11" customFormat="1" spans="1:16">
      <c r="A468" s="32" t="s">
        <v>250</v>
      </c>
      <c r="B468" s="28" t="s">
        <v>196</v>
      </c>
      <c r="C468" s="28" t="s">
        <v>189</v>
      </c>
      <c r="D468" s="33" t="str">
        <f>+IFERROR(VLOOKUP(C468,Data,4,FALSE),"Not in data")</f>
        <v>S</v>
      </c>
      <c r="E468" s="34" t="s">
        <v>149</v>
      </c>
      <c r="F468" s="30">
        <v>1</v>
      </c>
      <c r="G468" s="30">
        <v>1</v>
      </c>
      <c r="H468" s="31">
        <v>6.5</v>
      </c>
      <c r="I468" s="40">
        <f t="shared" si="52"/>
        <v>6.5</v>
      </c>
      <c r="J468" s="31">
        <f>+IFERROR(VLOOKUP(C468,Data,2,FALSE),"Not in weight table")</f>
        <v>22.9</v>
      </c>
      <c r="K468" s="31">
        <f>+IFERROR(VLOOKUP(C468,Data,3,FALSE),"Not in weight table")</f>
        <v>0.668</v>
      </c>
      <c r="L468" s="44">
        <f t="shared" si="53"/>
        <v>0.14885</v>
      </c>
      <c r="M468" s="42">
        <f t="shared" si="54"/>
        <v>4.342</v>
      </c>
      <c r="N468" s="43" t="s">
        <v>158</v>
      </c>
      <c r="O468" s="43" t="s">
        <v>158</v>
      </c>
      <c r="P468" s="43" t="s">
        <v>158</v>
      </c>
    </row>
    <row r="469" s="11" customFormat="1" spans="1:16">
      <c r="A469" s="32" t="s">
        <v>250</v>
      </c>
      <c r="B469" s="28" t="s">
        <v>196</v>
      </c>
      <c r="C469" s="28" t="s">
        <v>189</v>
      </c>
      <c r="D469" s="33" t="str">
        <f>+IFERROR(VLOOKUP(C469,Data,4,FALSE),"Not in data")</f>
        <v>S</v>
      </c>
      <c r="E469" s="34" t="s">
        <v>149</v>
      </c>
      <c r="F469" s="30">
        <v>1</v>
      </c>
      <c r="G469" s="30">
        <v>1</v>
      </c>
      <c r="H469" s="31">
        <v>7.2</v>
      </c>
      <c r="I469" s="40">
        <f t="shared" si="52"/>
        <v>7.2</v>
      </c>
      <c r="J469" s="31">
        <f>+IFERROR(VLOOKUP(C469,Data,2,FALSE),"Not in weight table")</f>
        <v>22.9</v>
      </c>
      <c r="K469" s="31">
        <f>+IFERROR(VLOOKUP(C469,Data,3,FALSE),"Not in weight table")</f>
        <v>0.668</v>
      </c>
      <c r="L469" s="44">
        <f t="shared" si="53"/>
        <v>0.16488</v>
      </c>
      <c r="M469" s="42">
        <f t="shared" si="54"/>
        <v>4.8096</v>
      </c>
      <c r="N469" s="43" t="s">
        <v>158</v>
      </c>
      <c r="O469" s="43" t="s">
        <v>158</v>
      </c>
      <c r="P469" s="43" t="s">
        <v>158</v>
      </c>
    </row>
    <row r="470" s="11" customFormat="1" spans="1:16">
      <c r="A470" s="32" t="s">
        <v>250</v>
      </c>
      <c r="B470" s="28" t="s">
        <v>196</v>
      </c>
      <c r="C470" s="28" t="s">
        <v>189</v>
      </c>
      <c r="D470" s="33" t="str">
        <f>+IFERROR(VLOOKUP(C470,Data,4,FALSE),"Not in data")</f>
        <v>S</v>
      </c>
      <c r="E470" s="34" t="s">
        <v>149</v>
      </c>
      <c r="F470" s="30">
        <v>1</v>
      </c>
      <c r="G470" s="30">
        <v>1</v>
      </c>
      <c r="H470" s="31">
        <v>6.3</v>
      </c>
      <c r="I470" s="40">
        <f t="shared" si="52"/>
        <v>6.3</v>
      </c>
      <c r="J470" s="31">
        <f>+IFERROR(VLOOKUP(C470,Data,2,FALSE),"Not in weight table")</f>
        <v>22.9</v>
      </c>
      <c r="K470" s="31">
        <f>+IFERROR(VLOOKUP(C470,Data,3,FALSE),"Not in weight table")</f>
        <v>0.668</v>
      </c>
      <c r="L470" s="44">
        <f t="shared" si="53"/>
        <v>0.14427</v>
      </c>
      <c r="M470" s="42">
        <f t="shared" si="54"/>
        <v>4.2084</v>
      </c>
      <c r="N470" s="43" t="s">
        <v>158</v>
      </c>
      <c r="O470" s="43" t="s">
        <v>158</v>
      </c>
      <c r="P470" s="43" t="s">
        <v>158</v>
      </c>
    </row>
    <row r="471" s="11" customFormat="1" spans="1:16">
      <c r="A471" s="32" t="s">
        <v>250</v>
      </c>
      <c r="B471" s="28" t="s">
        <v>196</v>
      </c>
      <c r="C471" s="28" t="s">
        <v>189</v>
      </c>
      <c r="D471" s="33" t="str">
        <f>+IFERROR(VLOOKUP(C471,Data,4,FALSE),"Not in data")</f>
        <v>S</v>
      </c>
      <c r="E471" s="34" t="s">
        <v>149</v>
      </c>
      <c r="F471" s="30">
        <v>1</v>
      </c>
      <c r="G471" s="30">
        <v>1</v>
      </c>
      <c r="H471" s="31">
        <v>8.6</v>
      </c>
      <c r="I471" s="40">
        <f t="shared" si="52"/>
        <v>8.6</v>
      </c>
      <c r="J471" s="31">
        <f>+IFERROR(VLOOKUP(C471,Data,2,FALSE),"Not in weight table")</f>
        <v>22.9</v>
      </c>
      <c r="K471" s="31">
        <f>+IFERROR(VLOOKUP(C471,Data,3,FALSE),"Not in weight table")</f>
        <v>0.668</v>
      </c>
      <c r="L471" s="44">
        <f t="shared" si="53"/>
        <v>0.19694</v>
      </c>
      <c r="M471" s="42">
        <f t="shared" si="54"/>
        <v>5.7448</v>
      </c>
      <c r="N471" s="43" t="s">
        <v>158</v>
      </c>
      <c r="O471" s="43" t="s">
        <v>158</v>
      </c>
      <c r="P471" s="43" t="s">
        <v>158</v>
      </c>
    </row>
    <row r="472" s="11" customFormat="1" spans="1:16">
      <c r="A472" s="32" t="s">
        <v>250</v>
      </c>
      <c r="B472" s="28" t="s">
        <v>184</v>
      </c>
      <c r="C472" s="28" t="s">
        <v>185</v>
      </c>
      <c r="D472" s="33" t="str">
        <f>+IFERROR(VLOOKUP(C472,Data,4,FALSE),"Not in data")</f>
        <v>Not in data</v>
      </c>
      <c r="E472" s="34" t="s">
        <v>149</v>
      </c>
      <c r="F472" s="30">
        <v>1</v>
      </c>
      <c r="G472" s="30">
        <v>2</v>
      </c>
      <c r="H472" s="31">
        <v>4.3</v>
      </c>
      <c r="I472" s="40">
        <f t="shared" si="52"/>
        <v>8.6</v>
      </c>
      <c r="J472" s="31" t="str">
        <f>+IFERROR(VLOOKUP(C472,Data,2,FALSE),"Not in weight table")</f>
        <v>Not in weight table</v>
      </c>
      <c r="K472" s="31" t="str">
        <f>+IFERROR(VLOOKUP(C472,Data,3,FALSE),"Not in weight table")</f>
        <v>Not in weight table</v>
      </c>
      <c r="L472" s="44">
        <f t="shared" si="53"/>
        <v>0</v>
      </c>
      <c r="M472" s="42">
        <f t="shared" si="54"/>
        <v>0</v>
      </c>
      <c r="N472" s="43" t="s">
        <v>158</v>
      </c>
      <c r="O472" s="43" t="s">
        <v>158</v>
      </c>
      <c r="P472" s="43" t="s">
        <v>158</v>
      </c>
    </row>
    <row r="473" s="11" customFormat="1" spans="1:16">
      <c r="A473" s="32" t="s">
        <v>250</v>
      </c>
      <c r="B473" s="28" t="s">
        <v>239</v>
      </c>
      <c r="C473" s="28" t="s">
        <v>240</v>
      </c>
      <c r="D473" s="33" t="str">
        <f>+IFERROR(VLOOKUP(C473,Data,4,FALSE),"Not in data")</f>
        <v>S</v>
      </c>
      <c r="E473" s="34" t="s">
        <v>149</v>
      </c>
      <c r="F473" s="30">
        <v>1</v>
      </c>
      <c r="G473" s="30">
        <v>1</v>
      </c>
      <c r="H473" s="31">
        <v>11.9</v>
      </c>
      <c r="I473" s="40">
        <f t="shared" si="52"/>
        <v>11.9</v>
      </c>
      <c r="J473" s="31">
        <f>+IFERROR(VLOOKUP(C473,Data,2,FALSE),"Not in weight table")</f>
        <v>44.7</v>
      </c>
      <c r="K473" s="31">
        <f>+IFERROR(VLOOKUP(C473,Data,3,FALSE),"Not in weight table")</f>
        <v>1.36</v>
      </c>
      <c r="L473" s="44">
        <f t="shared" si="53"/>
        <v>0.53193</v>
      </c>
      <c r="M473" s="42">
        <f t="shared" si="54"/>
        <v>16.184</v>
      </c>
      <c r="N473" s="43" t="s">
        <v>158</v>
      </c>
      <c r="O473" s="43" t="s">
        <v>158</v>
      </c>
      <c r="P473" s="43" t="s">
        <v>158</v>
      </c>
    </row>
    <row r="474" s="11" customFormat="1" spans="1:16">
      <c r="A474" s="32" t="s">
        <v>250</v>
      </c>
      <c r="B474" s="28" t="s">
        <v>239</v>
      </c>
      <c r="C474" s="28" t="s">
        <v>240</v>
      </c>
      <c r="D474" s="33" t="str">
        <f>+IFERROR(VLOOKUP(C474,Data,4,FALSE),"Not in data")</f>
        <v>S</v>
      </c>
      <c r="E474" s="34" t="s">
        <v>149</v>
      </c>
      <c r="F474" s="30">
        <v>1</v>
      </c>
      <c r="G474" s="30">
        <v>1</v>
      </c>
      <c r="H474" s="31">
        <v>5.3</v>
      </c>
      <c r="I474" s="40">
        <f t="shared" si="52"/>
        <v>5.3</v>
      </c>
      <c r="J474" s="31">
        <f>+IFERROR(VLOOKUP(C474,Data,2,FALSE),"Not in weight table")</f>
        <v>44.7</v>
      </c>
      <c r="K474" s="31">
        <f>+IFERROR(VLOOKUP(C474,Data,3,FALSE),"Not in weight table")</f>
        <v>1.36</v>
      </c>
      <c r="L474" s="44">
        <f t="shared" si="53"/>
        <v>0.23691</v>
      </c>
      <c r="M474" s="42">
        <f t="shared" si="54"/>
        <v>7.208</v>
      </c>
      <c r="N474" s="43" t="s">
        <v>158</v>
      </c>
      <c r="O474" s="43" t="s">
        <v>158</v>
      </c>
      <c r="P474" s="43" t="s">
        <v>158</v>
      </c>
    </row>
    <row r="475" s="11" customFormat="1" spans="1:16">
      <c r="A475" s="32" t="s">
        <v>250</v>
      </c>
      <c r="B475" s="28" t="s">
        <v>224</v>
      </c>
      <c r="C475" s="28" t="s">
        <v>259</v>
      </c>
      <c r="D475" s="33" t="str">
        <f>+IFERROR(VLOOKUP(C475,Data,4,FALSE),"Not in data")</f>
        <v>Not in data</v>
      </c>
      <c r="E475" s="34" t="s">
        <v>149</v>
      </c>
      <c r="F475" s="30">
        <v>1</v>
      </c>
      <c r="G475" s="30">
        <v>2</v>
      </c>
      <c r="H475" s="31">
        <v>4.7</v>
      </c>
      <c r="I475" s="40">
        <f t="shared" si="52"/>
        <v>9.4</v>
      </c>
      <c r="J475" s="31" t="str">
        <f>+IFERROR(VLOOKUP(C475,Data,2,FALSE),"Not in weight table")</f>
        <v>Not in weight table</v>
      </c>
      <c r="K475" s="31" t="str">
        <f>+IFERROR(VLOOKUP(C475,Data,3,FALSE),"Not in weight table")</f>
        <v>Not in weight table</v>
      </c>
      <c r="L475" s="44">
        <f t="shared" si="53"/>
        <v>0</v>
      </c>
      <c r="M475" s="42">
        <f t="shared" si="54"/>
        <v>0</v>
      </c>
      <c r="N475" s="43" t="s">
        <v>158</v>
      </c>
      <c r="O475" s="43" t="s">
        <v>158</v>
      </c>
      <c r="P475" s="43" t="s">
        <v>158</v>
      </c>
    </row>
    <row r="476" s="11" customFormat="1" spans="1:16">
      <c r="A476" s="32" t="s">
        <v>250</v>
      </c>
      <c r="B476" s="28" t="s">
        <v>206</v>
      </c>
      <c r="C476" s="28" t="s">
        <v>207</v>
      </c>
      <c r="D476" s="33" t="str">
        <f>+IFERROR(VLOOKUP(C476,Data,4,FALSE),"Not in data")</f>
        <v>S</v>
      </c>
      <c r="E476" s="34" t="s">
        <v>149</v>
      </c>
      <c r="F476" s="30">
        <v>1</v>
      </c>
      <c r="G476" s="30">
        <v>1</v>
      </c>
      <c r="H476" s="31">
        <v>11.3</v>
      </c>
      <c r="I476" s="40">
        <f t="shared" si="52"/>
        <v>11.3</v>
      </c>
      <c r="J476" s="31">
        <f>+IFERROR(VLOOKUP(C476,Data,2,FALSE),"Not in weight table")</f>
        <v>4.56</v>
      </c>
      <c r="K476" s="31">
        <f>+IFERROR(VLOOKUP(C476,Data,3,FALSE),"Not in weight table")</f>
        <v>0.255</v>
      </c>
      <c r="L476" s="44">
        <f t="shared" si="53"/>
        <v>0.051528</v>
      </c>
      <c r="M476" s="42">
        <f t="shared" si="54"/>
        <v>2.8815</v>
      </c>
      <c r="N476" s="43" t="s">
        <v>158</v>
      </c>
      <c r="O476" s="43" t="s">
        <v>158</v>
      </c>
      <c r="P476" s="43" t="s">
        <v>158</v>
      </c>
    </row>
    <row r="477" s="11" customFormat="1" spans="1:16">
      <c r="A477" s="32" t="s">
        <v>250</v>
      </c>
      <c r="B477" s="28" t="s">
        <v>206</v>
      </c>
      <c r="C477" s="28" t="s">
        <v>207</v>
      </c>
      <c r="D477" s="33" t="str">
        <f>+IFERROR(VLOOKUP(C477,Data,4,FALSE),"Not in data")</f>
        <v>S</v>
      </c>
      <c r="E477" s="34" t="s">
        <v>149</v>
      </c>
      <c r="F477" s="30">
        <v>1</v>
      </c>
      <c r="G477" s="30">
        <v>1</v>
      </c>
      <c r="H477" s="31">
        <v>11.5</v>
      </c>
      <c r="I477" s="40">
        <f t="shared" si="52"/>
        <v>11.5</v>
      </c>
      <c r="J477" s="31">
        <f>+IFERROR(VLOOKUP(C477,Data,2,FALSE),"Not in weight table")</f>
        <v>4.56</v>
      </c>
      <c r="K477" s="31">
        <f>+IFERROR(VLOOKUP(C477,Data,3,FALSE),"Not in weight table")</f>
        <v>0.255</v>
      </c>
      <c r="L477" s="44">
        <f t="shared" si="53"/>
        <v>0.05244</v>
      </c>
      <c r="M477" s="42">
        <f t="shared" si="54"/>
        <v>2.9325</v>
      </c>
      <c r="N477" s="43" t="s">
        <v>158</v>
      </c>
      <c r="O477" s="43" t="s">
        <v>158</v>
      </c>
      <c r="P477" s="43" t="s">
        <v>158</v>
      </c>
    </row>
    <row r="478" s="11" customFormat="1" spans="1:16">
      <c r="A478" s="32" t="s">
        <v>250</v>
      </c>
      <c r="B478" s="28" t="s">
        <v>206</v>
      </c>
      <c r="C478" s="28" t="s">
        <v>207</v>
      </c>
      <c r="D478" s="33" t="str">
        <f>+IFERROR(VLOOKUP(C478,Data,4,FALSE),"Not in data")</f>
        <v>S</v>
      </c>
      <c r="E478" s="34" t="s">
        <v>149</v>
      </c>
      <c r="F478" s="30">
        <v>1</v>
      </c>
      <c r="G478" s="30">
        <v>1</v>
      </c>
      <c r="H478" s="31">
        <v>11.8</v>
      </c>
      <c r="I478" s="40">
        <f t="shared" si="52"/>
        <v>11.8</v>
      </c>
      <c r="J478" s="31">
        <f>+IFERROR(VLOOKUP(C478,Data,2,FALSE),"Not in weight table")</f>
        <v>4.56</v>
      </c>
      <c r="K478" s="31">
        <f>+IFERROR(VLOOKUP(C478,Data,3,FALSE),"Not in weight table")</f>
        <v>0.255</v>
      </c>
      <c r="L478" s="44">
        <f t="shared" si="53"/>
        <v>0.053808</v>
      </c>
      <c r="M478" s="42">
        <f t="shared" si="54"/>
        <v>3.009</v>
      </c>
      <c r="N478" s="43" t="s">
        <v>158</v>
      </c>
      <c r="O478" s="43" t="s">
        <v>158</v>
      </c>
      <c r="P478" s="43" t="s">
        <v>158</v>
      </c>
    </row>
    <row r="479" s="11" customFormat="1" spans="1:16">
      <c r="A479" s="32" t="s">
        <v>250</v>
      </c>
      <c r="B479" s="28" t="s">
        <v>206</v>
      </c>
      <c r="C479" s="28" t="s">
        <v>207</v>
      </c>
      <c r="D479" s="33" t="str">
        <f>+IFERROR(VLOOKUP(C479,Data,4,FALSE),"Not in data")</f>
        <v>S</v>
      </c>
      <c r="E479" s="34" t="s">
        <v>149</v>
      </c>
      <c r="F479" s="30">
        <v>1</v>
      </c>
      <c r="G479" s="30">
        <v>1</v>
      </c>
      <c r="H479" s="31">
        <v>11.9</v>
      </c>
      <c r="I479" s="40">
        <f t="shared" si="52"/>
        <v>11.9</v>
      </c>
      <c r="J479" s="31">
        <f>+IFERROR(VLOOKUP(C479,Data,2,FALSE),"Not in weight table")</f>
        <v>4.56</v>
      </c>
      <c r="K479" s="31">
        <f>+IFERROR(VLOOKUP(C479,Data,3,FALSE),"Not in weight table")</f>
        <v>0.255</v>
      </c>
      <c r="L479" s="44">
        <f t="shared" si="53"/>
        <v>0.054264</v>
      </c>
      <c r="M479" s="42">
        <f t="shared" si="54"/>
        <v>3.0345</v>
      </c>
      <c r="N479" s="43" t="s">
        <v>158</v>
      </c>
      <c r="O479" s="43" t="s">
        <v>158</v>
      </c>
      <c r="P479" s="43" t="s">
        <v>158</v>
      </c>
    </row>
    <row r="480" s="11" customFormat="1" spans="1:16">
      <c r="A480" s="32" t="s">
        <v>250</v>
      </c>
      <c r="B480" s="28" t="s">
        <v>206</v>
      </c>
      <c r="C480" s="28" t="s">
        <v>207</v>
      </c>
      <c r="D480" s="33" t="str">
        <f>+IFERROR(VLOOKUP(C480,Data,4,FALSE),"Not in data")</f>
        <v>S</v>
      </c>
      <c r="E480" s="34" t="s">
        <v>149</v>
      </c>
      <c r="F480" s="30">
        <v>1</v>
      </c>
      <c r="G480" s="30">
        <v>1</v>
      </c>
      <c r="H480" s="31">
        <v>8.1</v>
      </c>
      <c r="I480" s="40">
        <f t="shared" si="52"/>
        <v>8.1</v>
      </c>
      <c r="J480" s="31">
        <f>+IFERROR(VLOOKUP(C480,Data,2,FALSE),"Not in weight table")</f>
        <v>4.56</v>
      </c>
      <c r="K480" s="31">
        <f>+IFERROR(VLOOKUP(C480,Data,3,FALSE),"Not in weight table")</f>
        <v>0.255</v>
      </c>
      <c r="L480" s="44">
        <f t="shared" si="53"/>
        <v>0.036936</v>
      </c>
      <c r="M480" s="42">
        <f t="shared" si="54"/>
        <v>2.0655</v>
      </c>
      <c r="N480" s="43" t="s">
        <v>158</v>
      </c>
      <c r="O480" s="43" t="s">
        <v>158</v>
      </c>
      <c r="P480" s="43" t="s">
        <v>158</v>
      </c>
    </row>
    <row r="481" s="11" customFormat="1" spans="1:16">
      <c r="A481" s="32" t="s">
        <v>250</v>
      </c>
      <c r="B481" s="28" t="s">
        <v>206</v>
      </c>
      <c r="C481" s="28" t="s">
        <v>207</v>
      </c>
      <c r="D481" s="33" t="str">
        <f>+IFERROR(VLOOKUP(C481,Data,4,FALSE),"Not in data")</f>
        <v>S</v>
      </c>
      <c r="E481" s="34" t="s">
        <v>149</v>
      </c>
      <c r="F481" s="30">
        <v>1</v>
      </c>
      <c r="G481" s="30">
        <v>1</v>
      </c>
      <c r="H481" s="31">
        <v>9.3</v>
      </c>
      <c r="I481" s="40">
        <f t="shared" si="52"/>
        <v>9.3</v>
      </c>
      <c r="J481" s="31">
        <f>+IFERROR(VLOOKUP(C481,Data,2,FALSE),"Not in weight table")</f>
        <v>4.56</v>
      </c>
      <c r="K481" s="31">
        <f>+IFERROR(VLOOKUP(C481,Data,3,FALSE),"Not in weight table")</f>
        <v>0.255</v>
      </c>
      <c r="L481" s="44">
        <f t="shared" si="53"/>
        <v>0.042408</v>
      </c>
      <c r="M481" s="42">
        <f t="shared" si="54"/>
        <v>2.3715</v>
      </c>
      <c r="N481" s="43" t="s">
        <v>158</v>
      </c>
      <c r="O481" s="43" t="s">
        <v>158</v>
      </c>
      <c r="P481" s="43" t="s">
        <v>158</v>
      </c>
    </row>
    <row r="482" s="11" customFormat="1" spans="1:16">
      <c r="A482" s="32" t="s">
        <v>250</v>
      </c>
      <c r="B482" s="28" t="s">
        <v>278</v>
      </c>
      <c r="C482" s="28" t="s">
        <v>279</v>
      </c>
      <c r="D482" s="33" t="str">
        <f>+IFERROR(VLOOKUP(C482,Data,4,FALSE),"Not in data")</f>
        <v>S</v>
      </c>
      <c r="E482" s="34" t="s">
        <v>149</v>
      </c>
      <c r="F482" s="30">
        <v>1</v>
      </c>
      <c r="G482" s="30">
        <v>1</v>
      </c>
      <c r="H482" s="31">
        <v>7.2</v>
      </c>
      <c r="I482" s="40">
        <f t="shared" si="52"/>
        <v>7.2</v>
      </c>
      <c r="J482" s="31">
        <f>+IFERROR(VLOOKUP(C482,Data,2,FALSE),"Not in weight table")</f>
        <v>40.1</v>
      </c>
      <c r="K482" s="31">
        <f>+IFERROR(VLOOKUP(C482,Data,3,FALSE),"Not in weight table")</f>
        <v>0.92</v>
      </c>
      <c r="L482" s="44">
        <f t="shared" si="53"/>
        <v>0.28872</v>
      </c>
      <c r="M482" s="42">
        <f t="shared" si="54"/>
        <v>6.624</v>
      </c>
      <c r="N482" s="43" t="s">
        <v>158</v>
      </c>
      <c r="O482" s="43" t="s">
        <v>158</v>
      </c>
      <c r="P482" s="43" t="s">
        <v>158</v>
      </c>
    </row>
    <row r="483" s="11" customFormat="1" spans="1:16">
      <c r="A483" s="32" t="s">
        <v>250</v>
      </c>
      <c r="B483" s="28" t="s">
        <v>262</v>
      </c>
      <c r="C483" s="28" t="s">
        <v>263</v>
      </c>
      <c r="D483" s="33" t="str">
        <f>+IFERROR(VLOOKUP(C483,Data,4,FALSE),"Not in data")</f>
        <v>S</v>
      </c>
      <c r="E483" s="34" t="s">
        <v>149</v>
      </c>
      <c r="F483" s="30">
        <v>1</v>
      </c>
      <c r="G483" s="30">
        <v>1</v>
      </c>
      <c r="H483" s="31">
        <v>9.5</v>
      </c>
      <c r="I483" s="40">
        <f t="shared" ref="I483:I525" si="55">+IF(F483&lt;&gt;"",F483*G483*H483,0)</f>
        <v>9.5</v>
      </c>
      <c r="J483" s="31">
        <f>+IFERROR(VLOOKUP(C483,Data,2,FALSE),"Not in weight table")</f>
        <v>37.3</v>
      </c>
      <c r="K483" s="31">
        <f>+IFERROR(VLOOKUP(C483,Data,3,FALSE),"Not in weight table")</f>
        <v>1.07</v>
      </c>
      <c r="L483" s="44">
        <f t="shared" ref="L483:L525" si="56">+IF(ISNUMBER(J483),I483*J483/1000,0)</f>
        <v>0.35435</v>
      </c>
      <c r="M483" s="42">
        <f t="shared" ref="M483:M525" si="57">+IF(ISNUMBER(K483),I483*K483,0)</f>
        <v>10.165</v>
      </c>
      <c r="N483" s="43" t="s">
        <v>158</v>
      </c>
      <c r="O483" s="43" t="s">
        <v>158</v>
      </c>
      <c r="P483" s="43" t="s">
        <v>158</v>
      </c>
    </row>
    <row r="484" s="11" customFormat="1" spans="1:16">
      <c r="A484" s="32" t="s">
        <v>250</v>
      </c>
      <c r="B484" s="28" t="s">
        <v>239</v>
      </c>
      <c r="C484" s="28" t="s">
        <v>240</v>
      </c>
      <c r="D484" s="33" t="str">
        <f>+IFERROR(VLOOKUP(C484,Data,4,FALSE),"Not in data")</f>
        <v>S</v>
      </c>
      <c r="E484" s="34" t="s">
        <v>149</v>
      </c>
      <c r="F484" s="30">
        <v>1</v>
      </c>
      <c r="G484" s="30">
        <v>1</v>
      </c>
      <c r="H484" s="31">
        <v>11.8</v>
      </c>
      <c r="I484" s="40">
        <f t="shared" si="55"/>
        <v>11.8</v>
      </c>
      <c r="J484" s="31">
        <f>+IFERROR(VLOOKUP(C484,Data,2,FALSE),"Not in weight table")</f>
        <v>44.7</v>
      </c>
      <c r="K484" s="31">
        <f>+IFERROR(VLOOKUP(C484,Data,3,FALSE),"Not in weight table")</f>
        <v>1.36</v>
      </c>
      <c r="L484" s="44">
        <f t="shared" si="56"/>
        <v>0.52746</v>
      </c>
      <c r="M484" s="42">
        <f t="shared" si="57"/>
        <v>16.048</v>
      </c>
      <c r="N484" s="43" t="s">
        <v>158</v>
      </c>
      <c r="O484" s="43" t="s">
        <v>158</v>
      </c>
      <c r="P484" s="43" t="s">
        <v>158</v>
      </c>
    </row>
    <row r="485" s="11" customFormat="1" spans="1:16">
      <c r="A485" s="32" t="s">
        <v>250</v>
      </c>
      <c r="B485" s="28" t="s">
        <v>199</v>
      </c>
      <c r="C485" s="28" t="s">
        <v>200</v>
      </c>
      <c r="D485" s="33" t="str">
        <f>+IFERROR(VLOOKUP(C485,Data,4,FALSE),"Not in data")</f>
        <v>Not in data</v>
      </c>
      <c r="E485" s="34" t="s">
        <v>149</v>
      </c>
      <c r="F485" s="30">
        <v>1</v>
      </c>
      <c r="G485" s="30">
        <v>1</v>
      </c>
      <c r="H485" s="31">
        <v>4.47</v>
      </c>
      <c r="I485" s="40">
        <f t="shared" si="55"/>
        <v>4.47</v>
      </c>
      <c r="J485" s="31" t="str">
        <f>+IFERROR(VLOOKUP(C485,Data,2,FALSE),"Not in weight table")</f>
        <v>Not in weight table</v>
      </c>
      <c r="K485" s="31" t="str">
        <f>+IFERROR(VLOOKUP(C485,Data,3,FALSE),"Not in weight table")</f>
        <v>Not in weight table</v>
      </c>
      <c r="L485" s="44">
        <f t="shared" si="56"/>
        <v>0</v>
      </c>
      <c r="M485" s="42">
        <f t="shared" si="57"/>
        <v>0</v>
      </c>
      <c r="N485" s="43" t="s">
        <v>158</v>
      </c>
      <c r="O485" s="43" t="s">
        <v>158</v>
      </c>
      <c r="P485" s="43" t="s">
        <v>158</v>
      </c>
    </row>
    <row r="486" s="11" customFormat="1" spans="1:16">
      <c r="A486" s="32" t="s">
        <v>250</v>
      </c>
      <c r="B486" s="28" t="s">
        <v>199</v>
      </c>
      <c r="C486" s="28" t="s">
        <v>200</v>
      </c>
      <c r="D486" s="33" t="str">
        <f>+IFERROR(VLOOKUP(C486,Data,4,FALSE),"Not in data")</f>
        <v>Not in data</v>
      </c>
      <c r="E486" s="34" t="s">
        <v>149</v>
      </c>
      <c r="F486" s="30">
        <v>1</v>
      </c>
      <c r="G486" s="30">
        <v>1</v>
      </c>
      <c r="H486" s="31">
        <v>6.6</v>
      </c>
      <c r="I486" s="40">
        <f t="shared" si="55"/>
        <v>6.6</v>
      </c>
      <c r="J486" s="31" t="str">
        <f>+IFERROR(VLOOKUP(C486,Data,2,FALSE),"Not in weight table")</f>
        <v>Not in weight table</v>
      </c>
      <c r="K486" s="31" t="str">
        <f>+IFERROR(VLOOKUP(C486,Data,3,FALSE),"Not in weight table")</f>
        <v>Not in weight table</v>
      </c>
      <c r="L486" s="44">
        <f t="shared" si="56"/>
        <v>0</v>
      </c>
      <c r="M486" s="42">
        <f t="shared" si="57"/>
        <v>0</v>
      </c>
      <c r="N486" s="43" t="s">
        <v>158</v>
      </c>
      <c r="O486" s="43" t="s">
        <v>158</v>
      </c>
      <c r="P486" s="43" t="s">
        <v>158</v>
      </c>
    </row>
    <row r="487" s="11" customFormat="1" spans="1:16">
      <c r="A487" s="32" t="s">
        <v>250</v>
      </c>
      <c r="B487" s="28" t="s">
        <v>199</v>
      </c>
      <c r="C487" s="28" t="s">
        <v>200</v>
      </c>
      <c r="D487" s="33" t="str">
        <f>+IFERROR(VLOOKUP(C487,Data,4,FALSE),"Not in data")</f>
        <v>Not in data</v>
      </c>
      <c r="E487" s="34" t="s">
        <v>149</v>
      </c>
      <c r="F487" s="30">
        <v>1</v>
      </c>
      <c r="G487" s="30">
        <v>1</v>
      </c>
      <c r="H487" s="31">
        <v>4</v>
      </c>
      <c r="I487" s="40">
        <f t="shared" si="55"/>
        <v>4</v>
      </c>
      <c r="J487" s="31" t="str">
        <f>+IFERROR(VLOOKUP(C487,Data,2,FALSE),"Not in weight table")</f>
        <v>Not in weight table</v>
      </c>
      <c r="K487" s="31" t="str">
        <f>+IFERROR(VLOOKUP(C487,Data,3,FALSE),"Not in weight table")</f>
        <v>Not in weight table</v>
      </c>
      <c r="L487" s="44">
        <f t="shared" si="56"/>
        <v>0</v>
      </c>
      <c r="M487" s="42">
        <f t="shared" si="57"/>
        <v>0</v>
      </c>
      <c r="N487" s="43" t="s">
        <v>158</v>
      </c>
      <c r="O487" s="43" t="s">
        <v>158</v>
      </c>
      <c r="P487" s="43" t="s">
        <v>158</v>
      </c>
    </row>
    <row r="488" s="11" customFormat="1" spans="1:16">
      <c r="A488" s="32" t="s">
        <v>250</v>
      </c>
      <c r="B488" s="28" t="s">
        <v>206</v>
      </c>
      <c r="C488" s="28" t="s">
        <v>207</v>
      </c>
      <c r="D488" s="33" t="str">
        <f>+IFERROR(VLOOKUP(C488,Data,4,FALSE),"Not in data")</f>
        <v>S</v>
      </c>
      <c r="E488" s="34" t="s">
        <v>149</v>
      </c>
      <c r="F488" s="30">
        <v>1</v>
      </c>
      <c r="G488" s="30">
        <v>1</v>
      </c>
      <c r="H488" s="31">
        <v>13</v>
      </c>
      <c r="I488" s="40">
        <f t="shared" si="55"/>
        <v>13</v>
      </c>
      <c r="J488" s="31">
        <f>+IFERROR(VLOOKUP(C488,Data,2,FALSE),"Not in weight table")</f>
        <v>4.56</v>
      </c>
      <c r="K488" s="31">
        <f>+IFERROR(VLOOKUP(C488,Data,3,FALSE),"Not in weight table")</f>
        <v>0.255</v>
      </c>
      <c r="L488" s="44">
        <f t="shared" si="56"/>
        <v>0.05928</v>
      </c>
      <c r="M488" s="42">
        <f t="shared" si="57"/>
        <v>3.315</v>
      </c>
      <c r="N488" s="43" t="s">
        <v>158</v>
      </c>
      <c r="O488" s="43" t="s">
        <v>158</v>
      </c>
      <c r="P488" s="43" t="s">
        <v>158</v>
      </c>
    </row>
    <row r="489" s="11" customFormat="1" spans="1:16">
      <c r="A489" s="32" t="s">
        <v>250</v>
      </c>
      <c r="B489" s="28" t="s">
        <v>206</v>
      </c>
      <c r="C489" s="28" t="s">
        <v>207</v>
      </c>
      <c r="D489" s="33" t="str">
        <f>+IFERROR(VLOOKUP(C489,Data,4,FALSE),"Not in data")</f>
        <v>S</v>
      </c>
      <c r="E489" s="34" t="s">
        <v>149</v>
      </c>
      <c r="F489" s="30">
        <v>1</v>
      </c>
      <c r="G489" s="30">
        <v>1</v>
      </c>
      <c r="H489" s="31">
        <v>10.8</v>
      </c>
      <c r="I489" s="40">
        <f t="shared" si="55"/>
        <v>10.8</v>
      </c>
      <c r="J489" s="31">
        <f>+IFERROR(VLOOKUP(C489,Data,2,FALSE),"Not in weight table")</f>
        <v>4.56</v>
      </c>
      <c r="K489" s="31">
        <f>+IFERROR(VLOOKUP(C489,Data,3,FALSE),"Not in weight table")</f>
        <v>0.255</v>
      </c>
      <c r="L489" s="44">
        <f t="shared" si="56"/>
        <v>0.049248</v>
      </c>
      <c r="M489" s="42">
        <f t="shared" si="57"/>
        <v>2.754</v>
      </c>
      <c r="N489" s="43" t="s">
        <v>158</v>
      </c>
      <c r="O489" s="43" t="s">
        <v>158</v>
      </c>
      <c r="P489" s="43" t="s">
        <v>158</v>
      </c>
    </row>
    <row r="490" s="11" customFormat="1" spans="1:16">
      <c r="A490" s="32" t="s">
        <v>250</v>
      </c>
      <c r="B490" s="28" t="s">
        <v>278</v>
      </c>
      <c r="C490" s="28" t="s">
        <v>279</v>
      </c>
      <c r="D490" s="33" t="str">
        <f>+IFERROR(VLOOKUP(C490,Data,4,FALSE),"Not in data")</f>
        <v>S</v>
      </c>
      <c r="E490" s="34" t="s">
        <v>149</v>
      </c>
      <c r="F490" s="30">
        <v>1</v>
      </c>
      <c r="G490" s="30">
        <v>1</v>
      </c>
      <c r="H490" s="31">
        <v>2.3</v>
      </c>
      <c r="I490" s="40">
        <f t="shared" si="55"/>
        <v>2.3</v>
      </c>
      <c r="J490" s="31">
        <f>+IFERROR(VLOOKUP(C490,Data,2,FALSE),"Not in weight table")</f>
        <v>40.1</v>
      </c>
      <c r="K490" s="31">
        <f>+IFERROR(VLOOKUP(C490,Data,3,FALSE),"Not in weight table")</f>
        <v>0.92</v>
      </c>
      <c r="L490" s="44">
        <f t="shared" si="56"/>
        <v>0.09223</v>
      </c>
      <c r="M490" s="42">
        <f t="shared" si="57"/>
        <v>2.116</v>
      </c>
      <c r="N490" s="43" t="s">
        <v>158</v>
      </c>
      <c r="O490" s="43" t="s">
        <v>158</v>
      </c>
      <c r="P490" s="43" t="s">
        <v>158</v>
      </c>
    </row>
    <row r="491" s="11" customFormat="1" spans="1:16">
      <c r="A491" s="32" t="s">
        <v>250</v>
      </c>
      <c r="B491" s="28" t="s">
        <v>278</v>
      </c>
      <c r="C491" s="28" t="s">
        <v>279</v>
      </c>
      <c r="D491" s="33" t="str">
        <f>+IFERROR(VLOOKUP(C491,Data,4,FALSE),"Not in data")</f>
        <v>S</v>
      </c>
      <c r="E491" s="34" t="s">
        <v>149</v>
      </c>
      <c r="F491" s="30">
        <v>1</v>
      </c>
      <c r="G491" s="30">
        <v>1</v>
      </c>
      <c r="H491" s="31">
        <v>3.4</v>
      </c>
      <c r="I491" s="40">
        <f t="shared" si="55"/>
        <v>3.4</v>
      </c>
      <c r="J491" s="31">
        <f>+IFERROR(VLOOKUP(C491,Data,2,FALSE),"Not in weight table")</f>
        <v>40.1</v>
      </c>
      <c r="K491" s="31">
        <f>+IFERROR(VLOOKUP(C491,Data,3,FALSE),"Not in weight table")</f>
        <v>0.92</v>
      </c>
      <c r="L491" s="44">
        <f t="shared" si="56"/>
        <v>0.13634</v>
      </c>
      <c r="M491" s="42">
        <f t="shared" si="57"/>
        <v>3.128</v>
      </c>
      <c r="N491" s="43" t="s">
        <v>158</v>
      </c>
      <c r="O491" s="43" t="s">
        <v>158</v>
      </c>
      <c r="P491" s="43" t="s">
        <v>158</v>
      </c>
    </row>
    <row r="492" s="11" customFormat="1" spans="1:16">
      <c r="A492" s="32" t="s">
        <v>250</v>
      </c>
      <c r="B492" s="28" t="s">
        <v>239</v>
      </c>
      <c r="C492" s="28" t="s">
        <v>240</v>
      </c>
      <c r="D492" s="33" t="str">
        <f>+IFERROR(VLOOKUP(C492,Data,4,FALSE),"Not in data")</f>
        <v>S</v>
      </c>
      <c r="E492" s="34" t="s">
        <v>149</v>
      </c>
      <c r="F492" s="30">
        <v>1</v>
      </c>
      <c r="G492" s="30">
        <v>1</v>
      </c>
      <c r="H492" s="31">
        <v>11</v>
      </c>
      <c r="I492" s="40">
        <f t="shared" si="55"/>
        <v>11</v>
      </c>
      <c r="J492" s="31">
        <f>+IFERROR(VLOOKUP(C492,Data,2,FALSE),"Not in weight table")</f>
        <v>44.7</v>
      </c>
      <c r="K492" s="31">
        <f>+IFERROR(VLOOKUP(C492,Data,3,FALSE),"Not in weight table")</f>
        <v>1.36</v>
      </c>
      <c r="L492" s="44">
        <f t="shared" si="56"/>
        <v>0.4917</v>
      </c>
      <c r="M492" s="42">
        <f t="shared" si="57"/>
        <v>14.96</v>
      </c>
      <c r="N492" s="43" t="s">
        <v>158</v>
      </c>
      <c r="O492" s="43" t="s">
        <v>158</v>
      </c>
      <c r="P492" s="43" t="s">
        <v>158</v>
      </c>
    </row>
    <row r="493" s="11" customFormat="1" spans="1:16">
      <c r="A493" s="32" t="s">
        <v>250</v>
      </c>
      <c r="B493" s="28" t="s">
        <v>206</v>
      </c>
      <c r="C493" s="28" t="s">
        <v>207</v>
      </c>
      <c r="D493" s="33" t="str">
        <f>+IFERROR(VLOOKUP(C493,Data,4,FALSE),"Not in data")</f>
        <v>S</v>
      </c>
      <c r="E493" s="34" t="s">
        <v>149</v>
      </c>
      <c r="F493" s="30">
        <v>1</v>
      </c>
      <c r="G493" s="30">
        <v>1</v>
      </c>
      <c r="H493" s="31">
        <v>9.3</v>
      </c>
      <c r="I493" s="40">
        <f t="shared" si="55"/>
        <v>9.3</v>
      </c>
      <c r="J493" s="31">
        <f>+IFERROR(VLOOKUP(C493,Data,2,FALSE),"Not in weight table")</f>
        <v>4.56</v>
      </c>
      <c r="K493" s="31">
        <f>+IFERROR(VLOOKUP(C493,Data,3,FALSE),"Not in weight table")</f>
        <v>0.255</v>
      </c>
      <c r="L493" s="44">
        <f t="shared" si="56"/>
        <v>0.042408</v>
      </c>
      <c r="M493" s="42">
        <f t="shared" si="57"/>
        <v>2.3715</v>
      </c>
      <c r="N493" s="43" t="s">
        <v>158</v>
      </c>
      <c r="O493" s="43" t="s">
        <v>158</v>
      </c>
      <c r="P493" s="43" t="s">
        <v>158</v>
      </c>
    </row>
    <row r="494" s="11" customFormat="1" spans="1:16">
      <c r="A494" s="32" t="s">
        <v>250</v>
      </c>
      <c r="B494" s="28" t="s">
        <v>206</v>
      </c>
      <c r="C494" s="28" t="s">
        <v>207</v>
      </c>
      <c r="D494" s="33" t="str">
        <f>+IFERROR(VLOOKUP(C494,Data,4,FALSE),"Not in data")</f>
        <v>S</v>
      </c>
      <c r="E494" s="34" t="s">
        <v>149</v>
      </c>
      <c r="F494" s="30">
        <v>1</v>
      </c>
      <c r="G494" s="30">
        <v>1</v>
      </c>
      <c r="H494" s="31">
        <v>7.8</v>
      </c>
      <c r="I494" s="40">
        <f t="shared" si="55"/>
        <v>7.8</v>
      </c>
      <c r="J494" s="31">
        <f>+IFERROR(VLOOKUP(C494,Data,2,FALSE),"Not in weight table")</f>
        <v>4.56</v>
      </c>
      <c r="K494" s="31">
        <f>+IFERROR(VLOOKUP(C494,Data,3,FALSE),"Not in weight table")</f>
        <v>0.255</v>
      </c>
      <c r="L494" s="44">
        <f t="shared" si="56"/>
        <v>0.035568</v>
      </c>
      <c r="M494" s="42">
        <f t="shared" si="57"/>
        <v>1.989</v>
      </c>
      <c r="N494" s="43" t="s">
        <v>158</v>
      </c>
      <c r="O494" s="43" t="s">
        <v>158</v>
      </c>
      <c r="P494" s="43" t="s">
        <v>158</v>
      </c>
    </row>
    <row r="495" s="11" customFormat="1" spans="1:16">
      <c r="A495" s="32" t="s">
        <v>250</v>
      </c>
      <c r="B495" s="28" t="s">
        <v>206</v>
      </c>
      <c r="C495" s="28" t="s">
        <v>207</v>
      </c>
      <c r="D495" s="33" t="str">
        <f>+IFERROR(VLOOKUP(C495,Data,4,FALSE),"Not in data")</f>
        <v>S</v>
      </c>
      <c r="E495" s="34" t="s">
        <v>149</v>
      </c>
      <c r="F495" s="30">
        <v>1</v>
      </c>
      <c r="G495" s="30">
        <v>1</v>
      </c>
      <c r="H495" s="31">
        <v>9.5</v>
      </c>
      <c r="I495" s="40">
        <f t="shared" si="55"/>
        <v>9.5</v>
      </c>
      <c r="J495" s="31">
        <f>+IFERROR(VLOOKUP(C495,Data,2,FALSE),"Not in weight table")</f>
        <v>4.56</v>
      </c>
      <c r="K495" s="31">
        <f>+IFERROR(VLOOKUP(C495,Data,3,FALSE),"Not in weight table")</f>
        <v>0.255</v>
      </c>
      <c r="L495" s="44">
        <f t="shared" si="56"/>
        <v>0.04332</v>
      </c>
      <c r="M495" s="42">
        <f t="shared" si="57"/>
        <v>2.4225</v>
      </c>
      <c r="N495" s="43" t="s">
        <v>158</v>
      </c>
      <c r="O495" s="43" t="s">
        <v>158</v>
      </c>
      <c r="P495" s="43" t="s">
        <v>158</v>
      </c>
    </row>
    <row r="496" s="11" customFormat="1" spans="1:16">
      <c r="A496" s="32" t="s">
        <v>250</v>
      </c>
      <c r="B496" s="28" t="s">
        <v>206</v>
      </c>
      <c r="C496" s="28" t="s">
        <v>207</v>
      </c>
      <c r="D496" s="33" t="str">
        <f>+IFERROR(VLOOKUP(C496,Data,4,FALSE),"Not in data")</f>
        <v>S</v>
      </c>
      <c r="E496" s="34" t="s">
        <v>149</v>
      </c>
      <c r="F496" s="30">
        <v>1</v>
      </c>
      <c r="G496" s="30">
        <v>1</v>
      </c>
      <c r="H496" s="31">
        <v>7.5</v>
      </c>
      <c r="I496" s="40">
        <f t="shared" si="55"/>
        <v>7.5</v>
      </c>
      <c r="J496" s="31">
        <f>+IFERROR(VLOOKUP(C496,Data,2,FALSE),"Not in weight table")</f>
        <v>4.56</v>
      </c>
      <c r="K496" s="31">
        <f>+IFERROR(VLOOKUP(C496,Data,3,FALSE),"Not in weight table")</f>
        <v>0.255</v>
      </c>
      <c r="L496" s="44">
        <f t="shared" si="56"/>
        <v>0.0342</v>
      </c>
      <c r="M496" s="42">
        <f t="shared" si="57"/>
        <v>1.9125</v>
      </c>
      <c r="N496" s="43" t="s">
        <v>158</v>
      </c>
      <c r="O496" s="43" t="s">
        <v>158</v>
      </c>
      <c r="P496" s="43" t="s">
        <v>158</v>
      </c>
    </row>
    <row r="497" s="11" customFormat="1" spans="1:16">
      <c r="A497" s="32" t="s">
        <v>250</v>
      </c>
      <c r="B497" s="28" t="s">
        <v>206</v>
      </c>
      <c r="C497" s="28" t="s">
        <v>207</v>
      </c>
      <c r="D497" s="33" t="str">
        <f>+IFERROR(VLOOKUP(C497,Data,4,FALSE),"Not in data")</f>
        <v>S</v>
      </c>
      <c r="E497" s="34" t="s">
        <v>149</v>
      </c>
      <c r="F497" s="30">
        <v>1</v>
      </c>
      <c r="G497" s="30">
        <v>1</v>
      </c>
      <c r="H497" s="31">
        <v>5.5</v>
      </c>
      <c r="I497" s="40">
        <f t="shared" si="55"/>
        <v>5.5</v>
      </c>
      <c r="J497" s="31">
        <f>+IFERROR(VLOOKUP(C497,Data,2,FALSE),"Not in weight table")</f>
        <v>4.56</v>
      </c>
      <c r="K497" s="31">
        <f>+IFERROR(VLOOKUP(C497,Data,3,FALSE),"Not in weight table")</f>
        <v>0.255</v>
      </c>
      <c r="L497" s="44">
        <f t="shared" si="56"/>
        <v>0.02508</v>
      </c>
      <c r="M497" s="42">
        <f t="shared" si="57"/>
        <v>1.4025</v>
      </c>
      <c r="N497" s="43" t="s">
        <v>158</v>
      </c>
      <c r="O497" s="43" t="s">
        <v>158</v>
      </c>
      <c r="P497" s="43" t="s">
        <v>158</v>
      </c>
    </row>
    <row r="498" s="11" customFormat="1" spans="1:16">
      <c r="A498" s="32" t="s">
        <v>250</v>
      </c>
      <c r="B498" s="28" t="s">
        <v>206</v>
      </c>
      <c r="C498" s="28" t="s">
        <v>207</v>
      </c>
      <c r="D498" s="33" t="str">
        <f>+IFERROR(VLOOKUP(C498,Data,4,FALSE),"Not in data")</f>
        <v>S</v>
      </c>
      <c r="E498" s="34" t="s">
        <v>149</v>
      </c>
      <c r="F498" s="30">
        <v>1</v>
      </c>
      <c r="G498" s="30">
        <v>1</v>
      </c>
      <c r="H498" s="31">
        <v>4.2</v>
      </c>
      <c r="I498" s="40">
        <f t="shared" si="55"/>
        <v>4.2</v>
      </c>
      <c r="J498" s="31">
        <f>+IFERROR(VLOOKUP(C498,Data,2,FALSE),"Not in weight table")</f>
        <v>4.56</v>
      </c>
      <c r="K498" s="31">
        <f>+IFERROR(VLOOKUP(C498,Data,3,FALSE),"Not in weight table")</f>
        <v>0.255</v>
      </c>
      <c r="L498" s="44">
        <f t="shared" si="56"/>
        <v>0.019152</v>
      </c>
      <c r="M498" s="42">
        <f t="shared" si="57"/>
        <v>1.071</v>
      </c>
      <c r="N498" s="43" t="s">
        <v>158</v>
      </c>
      <c r="O498" s="43" t="s">
        <v>158</v>
      </c>
      <c r="P498" s="43" t="s">
        <v>158</v>
      </c>
    </row>
    <row r="499" s="11" customFormat="1" spans="1:16">
      <c r="A499" s="32" t="s">
        <v>250</v>
      </c>
      <c r="B499" s="28" t="s">
        <v>206</v>
      </c>
      <c r="C499" s="28" t="s">
        <v>207</v>
      </c>
      <c r="D499" s="33" t="str">
        <f>+IFERROR(VLOOKUP(C499,Data,4,FALSE),"Not in data")</f>
        <v>S</v>
      </c>
      <c r="E499" s="34" t="s">
        <v>149</v>
      </c>
      <c r="F499" s="30">
        <v>1</v>
      </c>
      <c r="G499" s="30">
        <v>1</v>
      </c>
      <c r="H499" s="31">
        <v>8</v>
      </c>
      <c r="I499" s="40">
        <f t="shared" si="55"/>
        <v>8</v>
      </c>
      <c r="J499" s="31">
        <f>+IFERROR(VLOOKUP(C499,Data,2,FALSE),"Not in weight table")</f>
        <v>4.56</v>
      </c>
      <c r="K499" s="31">
        <f>+IFERROR(VLOOKUP(C499,Data,3,FALSE),"Not in weight table")</f>
        <v>0.255</v>
      </c>
      <c r="L499" s="44">
        <f t="shared" si="56"/>
        <v>0.03648</v>
      </c>
      <c r="M499" s="42">
        <f t="shared" si="57"/>
        <v>2.04</v>
      </c>
      <c r="N499" s="43" t="s">
        <v>158</v>
      </c>
      <c r="O499" s="43" t="s">
        <v>158</v>
      </c>
      <c r="P499" s="43" t="s">
        <v>158</v>
      </c>
    </row>
    <row r="500" s="11" customFormat="1" spans="1:16">
      <c r="A500" s="32" t="s">
        <v>250</v>
      </c>
      <c r="B500" s="28" t="s">
        <v>206</v>
      </c>
      <c r="C500" s="28" t="s">
        <v>207</v>
      </c>
      <c r="D500" s="33" t="str">
        <f>+IFERROR(VLOOKUP(C500,Data,4,FALSE),"Not in data")</f>
        <v>S</v>
      </c>
      <c r="E500" s="34" t="s">
        <v>149</v>
      </c>
      <c r="F500" s="30">
        <v>1</v>
      </c>
      <c r="G500" s="30">
        <v>1</v>
      </c>
      <c r="H500" s="31">
        <v>5</v>
      </c>
      <c r="I500" s="40">
        <f t="shared" si="55"/>
        <v>5</v>
      </c>
      <c r="J500" s="31">
        <f>+IFERROR(VLOOKUP(C500,Data,2,FALSE),"Not in weight table")</f>
        <v>4.56</v>
      </c>
      <c r="K500" s="31">
        <f>+IFERROR(VLOOKUP(C500,Data,3,FALSE),"Not in weight table")</f>
        <v>0.255</v>
      </c>
      <c r="L500" s="44">
        <f t="shared" si="56"/>
        <v>0.0228</v>
      </c>
      <c r="M500" s="42">
        <f t="shared" si="57"/>
        <v>1.275</v>
      </c>
      <c r="N500" s="43" t="s">
        <v>158</v>
      </c>
      <c r="O500" s="43" t="s">
        <v>158</v>
      </c>
      <c r="P500" s="43" t="s">
        <v>158</v>
      </c>
    </row>
    <row r="501" s="11" customFormat="1" spans="1:16">
      <c r="A501" s="32" t="s">
        <v>250</v>
      </c>
      <c r="B501" s="28" t="s">
        <v>205</v>
      </c>
      <c r="C501" s="28" t="s">
        <v>189</v>
      </c>
      <c r="D501" s="33" t="str">
        <f>+IFERROR(VLOOKUP(C501,Data,4,FALSE),"Not in data")</f>
        <v>S</v>
      </c>
      <c r="E501" s="34" t="s">
        <v>149</v>
      </c>
      <c r="F501" s="30">
        <v>1</v>
      </c>
      <c r="G501" s="30">
        <v>1</v>
      </c>
      <c r="H501" s="31">
        <v>1.9</v>
      </c>
      <c r="I501" s="40">
        <f t="shared" si="55"/>
        <v>1.9</v>
      </c>
      <c r="J501" s="31">
        <f>+IFERROR(VLOOKUP(C501,Data,2,FALSE),"Not in weight table")</f>
        <v>22.9</v>
      </c>
      <c r="K501" s="31">
        <f>+IFERROR(VLOOKUP(C501,Data,3,FALSE),"Not in weight table")</f>
        <v>0.668</v>
      </c>
      <c r="L501" s="44">
        <f t="shared" si="56"/>
        <v>0.04351</v>
      </c>
      <c r="M501" s="42">
        <f t="shared" si="57"/>
        <v>1.2692</v>
      </c>
      <c r="N501" s="43" t="s">
        <v>158</v>
      </c>
      <c r="O501" s="43" t="s">
        <v>158</v>
      </c>
      <c r="P501" s="43" t="s">
        <v>158</v>
      </c>
    </row>
    <row r="502" s="11" customFormat="1" spans="1:16">
      <c r="A502" s="32" t="s">
        <v>250</v>
      </c>
      <c r="B502" s="28" t="s">
        <v>238</v>
      </c>
      <c r="C502" s="28" t="s">
        <v>194</v>
      </c>
      <c r="D502" s="33" t="str">
        <f>+IFERROR(VLOOKUP(C502,Data,4,FALSE),"Not in data")</f>
        <v>T</v>
      </c>
      <c r="E502" s="34" t="s">
        <v>149</v>
      </c>
      <c r="F502" s="30">
        <v>1</v>
      </c>
      <c r="G502" s="30">
        <v>1</v>
      </c>
      <c r="H502" s="31">
        <v>7.4</v>
      </c>
      <c r="I502" s="40">
        <f t="shared" si="55"/>
        <v>7.4</v>
      </c>
      <c r="J502" s="31">
        <f>+IFERROR(VLOOKUP(C502,Data,2,FALSE),"Not in weight table")</f>
        <v>17.9</v>
      </c>
      <c r="K502" s="31">
        <f>+IFERROR(VLOOKUP(C502,Data,3,FALSE),"Not in weight table")</f>
        <v>0.583</v>
      </c>
      <c r="L502" s="44">
        <f t="shared" si="56"/>
        <v>0.13246</v>
      </c>
      <c r="M502" s="42">
        <f t="shared" si="57"/>
        <v>4.3142</v>
      </c>
      <c r="N502" s="43" t="s">
        <v>158</v>
      </c>
      <c r="O502" s="43" t="s">
        <v>158</v>
      </c>
      <c r="P502" s="43" t="s">
        <v>158</v>
      </c>
    </row>
    <row r="503" s="11" customFormat="1" spans="1:16">
      <c r="A503" s="32" t="s">
        <v>250</v>
      </c>
      <c r="B503" s="28" t="s">
        <v>244</v>
      </c>
      <c r="C503" s="28" t="s">
        <v>192</v>
      </c>
      <c r="D503" s="33" t="str">
        <f>+IFERROR(VLOOKUP(C503,Data,4,FALSE),"Not in data")</f>
        <v>T</v>
      </c>
      <c r="E503" s="34" t="s">
        <v>149</v>
      </c>
      <c r="F503" s="30">
        <v>1</v>
      </c>
      <c r="G503" s="30">
        <v>2</v>
      </c>
      <c r="H503" s="31">
        <v>0.6</v>
      </c>
      <c r="I503" s="40">
        <f t="shared" si="55"/>
        <v>1.2</v>
      </c>
      <c r="J503" s="31">
        <f>+IFERROR(VLOOKUP(C503,Data,2,FALSE),"Not in weight table")</f>
        <v>14.6</v>
      </c>
      <c r="K503" s="31">
        <f>+IFERROR(VLOOKUP(C503,Data,3,FALSE),"Not in weight table")</f>
        <v>0.33</v>
      </c>
      <c r="L503" s="44">
        <f t="shared" si="56"/>
        <v>0.01752</v>
      </c>
      <c r="M503" s="42">
        <f t="shared" si="57"/>
        <v>0.396</v>
      </c>
      <c r="N503" s="43" t="s">
        <v>158</v>
      </c>
      <c r="O503" s="43" t="s">
        <v>158</v>
      </c>
      <c r="P503" s="43" t="s">
        <v>158</v>
      </c>
    </row>
    <row r="504" s="11" customFormat="1" spans="1:16">
      <c r="A504" s="32" t="s">
        <v>250</v>
      </c>
      <c r="B504" s="28" t="s">
        <v>272</v>
      </c>
      <c r="C504" s="28" t="s">
        <v>192</v>
      </c>
      <c r="D504" s="33" t="str">
        <f>+IFERROR(VLOOKUP(C504,Data,4,FALSE),"Not in data")</f>
        <v>T</v>
      </c>
      <c r="E504" s="34" t="s">
        <v>149</v>
      </c>
      <c r="F504" s="30">
        <v>1</v>
      </c>
      <c r="G504" s="30">
        <v>1</v>
      </c>
      <c r="H504" s="31">
        <v>5.2</v>
      </c>
      <c r="I504" s="40">
        <f t="shared" si="55"/>
        <v>5.2</v>
      </c>
      <c r="J504" s="31">
        <f>+IFERROR(VLOOKUP(C504,Data,2,FALSE),"Not in weight table")</f>
        <v>14.6</v>
      </c>
      <c r="K504" s="31">
        <f>+IFERROR(VLOOKUP(C504,Data,3,FALSE),"Not in weight table")</f>
        <v>0.33</v>
      </c>
      <c r="L504" s="44">
        <f t="shared" si="56"/>
        <v>0.07592</v>
      </c>
      <c r="M504" s="42">
        <f t="shared" si="57"/>
        <v>1.716</v>
      </c>
      <c r="N504" s="43" t="s">
        <v>158</v>
      </c>
      <c r="O504" s="43" t="s">
        <v>158</v>
      </c>
      <c r="P504" s="43" t="s">
        <v>158</v>
      </c>
    </row>
    <row r="505" s="11" customFormat="1" spans="1:16">
      <c r="A505" s="32" t="s">
        <v>250</v>
      </c>
      <c r="B505" s="28" t="s">
        <v>244</v>
      </c>
      <c r="C505" s="28" t="s">
        <v>192</v>
      </c>
      <c r="D505" s="33" t="str">
        <f>+IFERROR(VLOOKUP(C505,Data,4,FALSE),"Not in data")</f>
        <v>T</v>
      </c>
      <c r="E505" s="34" t="s">
        <v>149</v>
      </c>
      <c r="F505" s="30">
        <v>1</v>
      </c>
      <c r="G505" s="30">
        <v>3</v>
      </c>
      <c r="H505" s="31">
        <v>1.5</v>
      </c>
      <c r="I505" s="40">
        <f t="shared" si="55"/>
        <v>4.5</v>
      </c>
      <c r="J505" s="31">
        <f>+IFERROR(VLOOKUP(C505,Data,2,FALSE),"Not in weight table")</f>
        <v>14.6</v>
      </c>
      <c r="K505" s="31">
        <f>+IFERROR(VLOOKUP(C505,Data,3,FALSE),"Not in weight table")</f>
        <v>0.33</v>
      </c>
      <c r="L505" s="44">
        <f t="shared" si="56"/>
        <v>0.0657</v>
      </c>
      <c r="M505" s="42">
        <f t="shared" si="57"/>
        <v>1.485</v>
      </c>
      <c r="N505" s="43" t="s">
        <v>158</v>
      </c>
      <c r="O505" s="43" t="s">
        <v>158</v>
      </c>
      <c r="P505" s="43" t="s">
        <v>158</v>
      </c>
    </row>
    <row r="506" s="11" customFormat="1" spans="1:16">
      <c r="A506" s="32" t="s">
        <v>250</v>
      </c>
      <c r="B506" s="28" t="s">
        <v>242</v>
      </c>
      <c r="C506" s="28" t="s">
        <v>277</v>
      </c>
      <c r="D506" s="33" t="str">
        <f>+IFERROR(VLOOKUP(C506,Data,4,FALSE),"Not in data")</f>
        <v>Not in data</v>
      </c>
      <c r="E506" s="34" t="s">
        <v>149</v>
      </c>
      <c r="F506" s="30">
        <v>1</v>
      </c>
      <c r="G506" s="30">
        <v>1</v>
      </c>
      <c r="H506" s="31">
        <v>7.3</v>
      </c>
      <c r="I506" s="40">
        <f t="shared" si="55"/>
        <v>7.3</v>
      </c>
      <c r="J506" s="31" t="str">
        <f>+IFERROR(VLOOKUP(C506,Data,2,FALSE),"Not in weight table")</f>
        <v>Not in weight table</v>
      </c>
      <c r="K506" s="31" t="str">
        <f>+IFERROR(VLOOKUP(C506,Data,3,FALSE),"Not in weight table")</f>
        <v>Not in weight table</v>
      </c>
      <c r="L506" s="44">
        <f t="shared" si="56"/>
        <v>0</v>
      </c>
      <c r="M506" s="42">
        <f t="shared" si="57"/>
        <v>0</v>
      </c>
      <c r="N506" s="43" t="s">
        <v>158</v>
      </c>
      <c r="O506" s="43" t="s">
        <v>158</v>
      </c>
      <c r="P506" s="43" t="s">
        <v>158</v>
      </c>
    </row>
    <row r="507" s="11" customFormat="1" spans="1:16">
      <c r="A507" s="32" t="s">
        <v>250</v>
      </c>
      <c r="B507" s="28" t="s">
        <v>218</v>
      </c>
      <c r="C507" s="28" t="s">
        <v>219</v>
      </c>
      <c r="D507" s="33" t="str">
        <f>+IFERROR(VLOOKUP(C507,Data,4,FALSE),"Not in data")</f>
        <v>Not in data</v>
      </c>
      <c r="E507" s="34" t="s">
        <v>148</v>
      </c>
      <c r="F507" s="30">
        <v>1</v>
      </c>
      <c r="G507" s="30">
        <v>19</v>
      </c>
      <c r="H507" s="31">
        <v>0.9</v>
      </c>
      <c r="I507" s="40">
        <f t="shared" si="55"/>
        <v>17.1</v>
      </c>
      <c r="J507" s="31" t="str">
        <f>+IFERROR(VLOOKUP(C507,Data,2,FALSE),"Not in weight table")</f>
        <v>Not in weight table</v>
      </c>
      <c r="K507" s="31" t="str">
        <f>+IFERROR(VLOOKUP(C507,Data,3,FALSE),"Not in weight table")</f>
        <v>Not in weight table</v>
      </c>
      <c r="L507" s="44">
        <f t="shared" si="56"/>
        <v>0</v>
      </c>
      <c r="M507" s="42">
        <f t="shared" si="57"/>
        <v>0</v>
      </c>
      <c r="N507" s="43" t="s">
        <v>158</v>
      </c>
      <c r="O507" s="43" t="s">
        <v>158</v>
      </c>
      <c r="P507" s="43" t="s">
        <v>158</v>
      </c>
    </row>
    <row r="508" s="11" customFormat="1" spans="1:16">
      <c r="A508" s="32" t="s">
        <v>250</v>
      </c>
      <c r="B508" s="28" t="s">
        <v>218</v>
      </c>
      <c r="C508" s="28" t="s">
        <v>219</v>
      </c>
      <c r="D508" s="33" t="str">
        <f>+IFERROR(VLOOKUP(C508,Data,4,FALSE),"Not in data")</f>
        <v>Not in data</v>
      </c>
      <c r="E508" s="34" t="s">
        <v>148</v>
      </c>
      <c r="F508" s="30">
        <v>1</v>
      </c>
      <c r="G508" s="30">
        <v>19</v>
      </c>
      <c r="H508" s="31">
        <v>8.1</v>
      </c>
      <c r="I508" s="40">
        <f t="shared" si="55"/>
        <v>153.9</v>
      </c>
      <c r="J508" s="31" t="str">
        <f>+IFERROR(VLOOKUP(C508,Data,2,FALSE),"Not in weight table")</f>
        <v>Not in weight table</v>
      </c>
      <c r="K508" s="31" t="str">
        <f>+IFERROR(VLOOKUP(C508,Data,3,FALSE),"Not in weight table")</f>
        <v>Not in weight table</v>
      </c>
      <c r="L508" s="44">
        <f t="shared" si="56"/>
        <v>0</v>
      </c>
      <c r="M508" s="42">
        <f t="shared" si="57"/>
        <v>0</v>
      </c>
      <c r="N508" s="43" t="s">
        <v>158</v>
      </c>
      <c r="O508" s="43" t="s">
        <v>158</v>
      </c>
      <c r="P508" s="43" t="s">
        <v>158</v>
      </c>
    </row>
    <row r="509" s="11" customFormat="1" spans="1:16">
      <c r="A509" s="32" t="s">
        <v>250</v>
      </c>
      <c r="B509" s="28" t="s">
        <v>218</v>
      </c>
      <c r="C509" s="28" t="s">
        <v>219</v>
      </c>
      <c r="D509" s="33" t="str">
        <f>+IFERROR(VLOOKUP(C509,Data,4,FALSE),"Not in data")</f>
        <v>Not in data</v>
      </c>
      <c r="E509" s="34" t="s">
        <v>148</v>
      </c>
      <c r="F509" s="30">
        <v>1</v>
      </c>
      <c r="G509" s="30">
        <v>19</v>
      </c>
      <c r="H509" s="31">
        <v>6.1</v>
      </c>
      <c r="I509" s="40">
        <f t="shared" si="55"/>
        <v>115.9</v>
      </c>
      <c r="J509" s="31" t="str">
        <f>+IFERROR(VLOOKUP(C509,Data,2,FALSE),"Not in weight table")</f>
        <v>Not in weight table</v>
      </c>
      <c r="K509" s="31" t="str">
        <f>+IFERROR(VLOOKUP(C509,Data,3,FALSE),"Not in weight table")</f>
        <v>Not in weight table</v>
      </c>
      <c r="L509" s="44">
        <f t="shared" si="56"/>
        <v>0</v>
      </c>
      <c r="M509" s="42">
        <f t="shared" si="57"/>
        <v>0</v>
      </c>
      <c r="N509" s="43" t="s">
        <v>158</v>
      </c>
      <c r="O509" s="43" t="s">
        <v>158</v>
      </c>
      <c r="P509" s="43" t="s">
        <v>158</v>
      </c>
    </row>
    <row r="510" s="11" customFormat="1" spans="1:16">
      <c r="A510" s="32" t="s">
        <v>250</v>
      </c>
      <c r="B510" s="28" t="s">
        <v>218</v>
      </c>
      <c r="C510" s="28" t="s">
        <v>219</v>
      </c>
      <c r="D510" s="33" t="str">
        <f>+IFERROR(VLOOKUP(C510,Data,4,FALSE),"Not in data")</f>
        <v>Not in data</v>
      </c>
      <c r="E510" s="34" t="s">
        <v>148</v>
      </c>
      <c r="F510" s="30">
        <v>1</v>
      </c>
      <c r="G510" s="30">
        <v>19</v>
      </c>
      <c r="H510" s="31">
        <v>6.9</v>
      </c>
      <c r="I510" s="40">
        <f t="shared" si="55"/>
        <v>131.1</v>
      </c>
      <c r="J510" s="31" t="str">
        <f>+IFERROR(VLOOKUP(C510,Data,2,FALSE),"Not in weight table")</f>
        <v>Not in weight table</v>
      </c>
      <c r="K510" s="31" t="str">
        <f>+IFERROR(VLOOKUP(C510,Data,3,FALSE),"Not in weight table")</f>
        <v>Not in weight table</v>
      </c>
      <c r="L510" s="44">
        <f t="shared" si="56"/>
        <v>0</v>
      </c>
      <c r="M510" s="42">
        <f t="shared" si="57"/>
        <v>0</v>
      </c>
      <c r="N510" s="43" t="s">
        <v>158</v>
      </c>
      <c r="O510" s="43" t="s">
        <v>158</v>
      </c>
      <c r="P510" s="43" t="s">
        <v>158</v>
      </c>
    </row>
    <row r="511" s="11" customFormat="1" spans="1:16">
      <c r="A511" s="32" t="s">
        <v>250</v>
      </c>
      <c r="B511" s="28" t="s">
        <v>218</v>
      </c>
      <c r="C511" s="28" t="s">
        <v>219</v>
      </c>
      <c r="D511" s="33" t="str">
        <f>+IFERROR(VLOOKUP(C511,Data,4,FALSE),"Not in data")</f>
        <v>Not in data</v>
      </c>
      <c r="E511" s="34" t="s">
        <v>148</v>
      </c>
      <c r="F511" s="30">
        <v>1</v>
      </c>
      <c r="G511" s="30">
        <v>19</v>
      </c>
      <c r="H511" s="31">
        <v>6.1</v>
      </c>
      <c r="I511" s="40">
        <f t="shared" si="55"/>
        <v>115.9</v>
      </c>
      <c r="J511" s="31" t="str">
        <f>+IFERROR(VLOOKUP(C511,Data,2,FALSE),"Not in weight table")</f>
        <v>Not in weight table</v>
      </c>
      <c r="K511" s="31" t="str">
        <f>+IFERROR(VLOOKUP(C511,Data,3,FALSE),"Not in weight table")</f>
        <v>Not in weight table</v>
      </c>
      <c r="L511" s="44">
        <f t="shared" si="56"/>
        <v>0</v>
      </c>
      <c r="M511" s="42">
        <f t="shared" si="57"/>
        <v>0</v>
      </c>
      <c r="N511" s="43" t="s">
        <v>158</v>
      </c>
      <c r="O511" s="43" t="s">
        <v>158</v>
      </c>
      <c r="P511" s="43" t="s">
        <v>158</v>
      </c>
    </row>
    <row r="512" s="11" customFormat="1" spans="1:16">
      <c r="A512" s="32" t="s">
        <v>250</v>
      </c>
      <c r="B512" s="28" t="s">
        <v>218</v>
      </c>
      <c r="C512" s="28" t="s">
        <v>219</v>
      </c>
      <c r="D512" s="33" t="str">
        <f>+IFERROR(VLOOKUP(C512,Data,4,FALSE),"Not in data")</f>
        <v>Not in data</v>
      </c>
      <c r="E512" s="34" t="s">
        <v>148</v>
      </c>
      <c r="F512" s="30">
        <v>1</v>
      </c>
      <c r="G512" s="30">
        <v>19</v>
      </c>
      <c r="H512" s="31">
        <v>7.3</v>
      </c>
      <c r="I512" s="40">
        <f t="shared" si="55"/>
        <v>138.7</v>
      </c>
      <c r="J512" s="31" t="str">
        <f>+IFERROR(VLOOKUP(C512,Data,2,FALSE),"Not in weight table")</f>
        <v>Not in weight table</v>
      </c>
      <c r="K512" s="31" t="str">
        <f>+IFERROR(VLOOKUP(C512,Data,3,FALSE),"Not in weight table")</f>
        <v>Not in weight table</v>
      </c>
      <c r="L512" s="44">
        <f t="shared" si="56"/>
        <v>0</v>
      </c>
      <c r="M512" s="42">
        <f t="shared" si="57"/>
        <v>0</v>
      </c>
      <c r="N512" s="43" t="s">
        <v>158</v>
      </c>
      <c r="O512" s="43" t="s">
        <v>158</v>
      </c>
      <c r="P512" s="43" t="s">
        <v>158</v>
      </c>
    </row>
    <row r="513" s="11" customFormat="1" spans="1:16">
      <c r="A513" s="32" t="s">
        <v>250</v>
      </c>
      <c r="B513" s="28" t="s">
        <v>220</v>
      </c>
      <c r="C513" s="28" t="s">
        <v>219</v>
      </c>
      <c r="D513" s="33" t="str">
        <f>+IFERROR(VLOOKUP(C513,Data,4,FALSE),"Not in data")</f>
        <v>Not in data</v>
      </c>
      <c r="E513" s="34" t="s">
        <v>148</v>
      </c>
      <c r="F513" s="30">
        <v>1</v>
      </c>
      <c r="G513" s="30">
        <v>16</v>
      </c>
      <c r="H513" s="31">
        <v>11.5</v>
      </c>
      <c r="I513" s="40">
        <f t="shared" si="55"/>
        <v>184</v>
      </c>
      <c r="J513" s="31" t="str">
        <f>+IFERROR(VLOOKUP(C513,Data,2,FALSE),"Not in weight table")</f>
        <v>Not in weight table</v>
      </c>
      <c r="K513" s="31" t="str">
        <f>+IFERROR(VLOOKUP(C513,Data,3,FALSE),"Not in weight table")</f>
        <v>Not in weight table</v>
      </c>
      <c r="L513" s="44">
        <f t="shared" si="56"/>
        <v>0</v>
      </c>
      <c r="M513" s="42">
        <f t="shared" si="57"/>
        <v>0</v>
      </c>
      <c r="N513" s="43" t="s">
        <v>158</v>
      </c>
      <c r="O513" s="43" t="s">
        <v>158</v>
      </c>
      <c r="P513" s="43" t="s">
        <v>158</v>
      </c>
    </row>
    <row r="514" s="11" customFormat="1" spans="1:16">
      <c r="A514" s="32" t="s">
        <v>250</v>
      </c>
      <c r="B514" s="28" t="s">
        <v>220</v>
      </c>
      <c r="C514" s="28" t="s">
        <v>219</v>
      </c>
      <c r="D514" s="33" t="str">
        <f>+IFERROR(VLOOKUP(C514,Data,4,FALSE),"Not in data")</f>
        <v>Not in data</v>
      </c>
      <c r="E514" s="34" t="s">
        <v>148</v>
      </c>
      <c r="F514" s="30">
        <v>1</v>
      </c>
      <c r="G514" s="30">
        <v>16</v>
      </c>
      <c r="H514" s="31">
        <v>7.7</v>
      </c>
      <c r="I514" s="40">
        <f t="shared" si="55"/>
        <v>123.2</v>
      </c>
      <c r="J514" s="31" t="str">
        <f>+IFERROR(VLOOKUP(C514,Data,2,FALSE),"Not in weight table")</f>
        <v>Not in weight table</v>
      </c>
      <c r="K514" s="31" t="str">
        <f>+IFERROR(VLOOKUP(C514,Data,3,FALSE),"Not in weight table")</f>
        <v>Not in weight table</v>
      </c>
      <c r="L514" s="44">
        <f t="shared" si="56"/>
        <v>0</v>
      </c>
      <c r="M514" s="42">
        <f t="shared" si="57"/>
        <v>0</v>
      </c>
      <c r="N514" s="43" t="s">
        <v>158</v>
      </c>
      <c r="O514" s="43" t="s">
        <v>158</v>
      </c>
      <c r="P514" s="43" t="s">
        <v>158</v>
      </c>
    </row>
    <row r="515" s="11" customFormat="1" spans="1:16">
      <c r="A515" s="32" t="s">
        <v>250</v>
      </c>
      <c r="B515" s="28" t="s">
        <v>220</v>
      </c>
      <c r="C515" s="28" t="s">
        <v>219</v>
      </c>
      <c r="D515" s="33" t="str">
        <f>+IFERROR(VLOOKUP(C515,Data,4,FALSE),"Not in data")</f>
        <v>Not in data</v>
      </c>
      <c r="E515" s="34" t="s">
        <v>148</v>
      </c>
      <c r="F515" s="30">
        <v>1</v>
      </c>
      <c r="G515" s="30">
        <v>16</v>
      </c>
      <c r="H515" s="31">
        <v>7</v>
      </c>
      <c r="I515" s="40">
        <f t="shared" si="55"/>
        <v>112</v>
      </c>
      <c r="J515" s="31" t="str">
        <f>+IFERROR(VLOOKUP(C515,Data,2,FALSE),"Not in weight table")</f>
        <v>Not in weight table</v>
      </c>
      <c r="K515" s="31" t="str">
        <f>+IFERROR(VLOOKUP(C515,Data,3,FALSE),"Not in weight table")</f>
        <v>Not in weight table</v>
      </c>
      <c r="L515" s="44">
        <f t="shared" si="56"/>
        <v>0</v>
      </c>
      <c r="M515" s="42">
        <f t="shared" si="57"/>
        <v>0</v>
      </c>
      <c r="N515" s="43" t="s">
        <v>158</v>
      </c>
      <c r="O515" s="43" t="s">
        <v>158</v>
      </c>
      <c r="P515" s="43" t="s">
        <v>158</v>
      </c>
    </row>
    <row r="516" s="11" customFormat="1" spans="1:16">
      <c r="A516" s="32" t="s">
        <v>250</v>
      </c>
      <c r="B516" s="28" t="s">
        <v>220</v>
      </c>
      <c r="C516" s="28" t="s">
        <v>219</v>
      </c>
      <c r="D516" s="33" t="str">
        <f>+IFERROR(VLOOKUP(C516,Data,4,FALSE),"Not in data")</f>
        <v>Not in data</v>
      </c>
      <c r="E516" s="34" t="s">
        <v>148</v>
      </c>
      <c r="F516" s="30">
        <v>1</v>
      </c>
      <c r="G516" s="30">
        <v>16</v>
      </c>
      <c r="H516" s="31">
        <v>13.3</v>
      </c>
      <c r="I516" s="40">
        <f t="shared" si="55"/>
        <v>212.8</v>
      </c>
      <c r="J516" s="31" t="str">
        <f>+IFERROR(VLOOKUP(C516,Data,2,FALSE),"Not in weight table")</f>
        <v>Not in weight table</v>
      </c>
      <c r="K516" s="31" t="str">
        <f>+IFERROR(VLOOKUP(C516,Data,3,FALSE),"Not in weight table")</f>
        <v>Not in weight table</v>
      </c>
      <c r="L516" s="44">
        <f t="shared" si="56"/>
        <v>0</v>
      </c>
      <c r="M516" s="42">
        <f t="shared" si="57"/>
        <v>0</v>
      </c>
      <c r="N516" s="43" t="s">
        <v>158</v>
      </c>
      <c r="O516" s="43" t="s">
        <v>158</v>
      </c>
      <c r="P516" s="43" t="s">
        <v>158</v>
      </c>
    </row>
    <row r="517" s="11" customFormat="1" spans="1:16">
      <c r="A517" s="32" t="s">
        <v>250</v>
      </c>
      <c r="B517" s="28" t="s">
        <v>53</v>
      </c>
      <c r="C517" s="28"/>
      <c r="D517" s="33" t="str">
        <f>+IFERROR(VLOOKUP(C517,Data,4,FALSE),"Not in data")</f>
        <v>Not in data</v>
      </c>
      <c r="E517" s="34" t="s">
        <v>148</v>
      </c>
      <c r="F517" s="30">
        <v>1</v>
      </c>
      <c r="G517" s="30">
        <v>1</v>
      </c>
      <c r="H517" s="31">
        <v>6.6</v>
      </c>
      <c r="I517" s="40">
        <f t="shared" si="55"/>
        <v>6.6</v>
      </c>
      <c r="J517" s="31" t="str">
        <f>+IFERROR(VLOOKUP(C517,Data,2,FALSE),"Not in weight table")</f>
        <v>Not in weight table</v>
      </c>
      <c r="K517" s="31" t="str">
        <f>+IFERROR(VLOOKUP(C517,Data,3,FALSE),"Not in weight table")</f>
        <v>Not in weight table</v>
      </c>
      <c r="L517" s="44">
        <f t="shared" si="56"/>
        <v>0</v>
      </c>
      <c r="M517" s="42">
        <f t="shared" si="57"/>
        <v>0</v>
      </c>
      <c r="N517" s="43" t="s">
        <v>158</v>
      </c>
      <c r="O517" s="43" t="s">
        <v>158</v>
      </c>
      <c r="P517" s="43" t="s">
        <v>158</v>
      </c>
    </row>
    <row r="518" s="11" customFormat="1" spans="1:16">
      <c r="A518" s="32" t="s">
        <v>250</v>
      </c>
      <c r="B518" s="28" t="s">
        <v>53</v>
      </c>
      <c r="C518" s="28"/>
      <c r="D518" s="33" t="str">
        <f>+IFERROR(VLOOKUP(C518,Data,4,FALSE),"Not in data")</f>
        <v>Not in data</v>
      </c>
      <c r="E518" s="34" t="s">
        <v>148</v>
      </c>
      <c r="F518" s="30">
        <v>1</v>
      </c>
      <c r="G518" s="30">
        <v>1</v>
      </c>
      <c r="H518" s="31">
        <v>17.4</v>
      </c>
      <c r="I518" s="40">
        <f t="shared" si="55"/>
        <v>17.4</v>
      </c>
      <c r="J518" s="31" t="str">
        <f>+IFERROR(VLOOKUP(C518,Data,2,FALSE),"Not in weight table")</f>
        <v>Not in weight table</v>
      </c>
      <c r="K518" s="31" t="str">
        <f>+IFERROR(VLOOKUP(C518,Data,3,FALSE),"Not in weight table")</f>
        <v>Not in weight table</v>
      </c>
      <c r="L518" s="44">
        <f t="shared" si="56"/>
        <v>0</v>
      </c>
      <c r="M518" s="42">
        <f t="shared" si="57"/>
        <v>0</v>
      </c>
      <c r="N518" s="43" t="s">
        <v>158</v>
      </c>
      <c r="O518" s="43" t="s">
        <v>158</v>
      </c>
      <c r="P518" s="43" t="s">
        <v>158</v>
      </c>
    </row>
    <row r="519" s="11" customFormat="1" spans="1:16">
      <c r="A519" s="32" t="s">
        <v>250</v>
      </c>
      <c r="B519" s="28" t="s">
        <v>53</v>
      </c>
      <c r="C519" s="28"/>
      <c r="D519" s="33" t="str">
        <f>+IFERROR(VLOOKUP(C519,Data,4,FALSE),"Not in data")</f>
        <v>Not in data</v>
      </c>
      <c r="E519" s="34" t="s">
        <v>148</v>
      </c>
      <c r="F519" s="30">
        <v>1</v>
      </c>
      <c r="G519" s="30">
        <v>1</v>
      </c>
      <c r="H519" s="31">
        <v>18.5</v>
      </c>
      <c r="I519" s="40">
        <f t="shared" si="55"/>
        <v>18.5</v>
      </c>
      <c r="J519" s="31" t="str">
        <f>+IFERROR(VLOOKUP(C519,Data,2,FALSE),"Not in weight table")</f>
        <v>Not in weight table</v>
      </c>
      <c r="K519" s="31" t="str">
        <f>+IFERROR(VLOOKUP(C519,Data,3,FALSE),"Not in weight table")</f>
        <v>Not in weight table</v>
      </c>
      <c r="L519" s="44">
        <f t="shared" si="56"/>
        <v>0</v>
      </c>
      <c r="M519" s="42">
        <f t="shared" si="57"/>
        <v>0</v>
      </c>
      <c r="N519" s="43" t="s">
        <v>158</v>
      </c>
      <c r="O519" s="43" t="s">
        <v>158</v>
      </c>
      <c r="P519" s="43" t="s">
        <v>158</v>
      </c>
    </row>
    <row r="520" s="11" customFormat="1" spans="1:16">
      <c r="A520" s="32" t="s">
        <v>250</v>
      </c>
      <c r="B520" s="28" t="s">
        <v>53</v>
      </c>
      <c r="C520" s="28"/>
      <c r="D520" s="33" t="str">
        <f>+IFERROR(VLOOKUP(C520,Data,4,FALSE),"Not in data")</f>
        <v>Not in data</v>
      </c>
      <c r="E520" s="34" t="s">
        <v>148</v>
      </c>
      <c r="F520" s="30">
        <v>1</v>
      </c>
      <c r="G520" s="30">
        <v>1</v>
      </c>
      <c r="H520" s="31">
        <v>20.8</v>
      </c>
      <c r="I520" s="40">
        <f t="shared" si="55"/>
        <v>20.8</v>
      </c>
      <c r="J520" s="31" t="str">
        <f>+IFERROR(VLOOKUP(C520,Data,2,FALSE),"Not in weight table")</f>
        <v>Not in weight table</v>
      </c>
      <c r="K520" s="31" t="str">
        <f>+IFERROR(VLOOKUP(C520,Data,3,FALSE),"Not in weight table")</f>
        <v>Not in weight table</v>
      </c>
      <c r="L520" s="44">
        <f t="shared" si="56"/>
        <v>0</v>
      </c>
      <c r="M520" s="42">
        <f t="shared" si="57"/>
        <v>0</v>
      </c>
      <c r="N520" s="43" t="s">
        <v>158</v>
      </c>
      <c r="O520" s="43" t="s">
        <v>158</v>
      </c>
      <c r="P520" s="43" t="s">
        <v>158</v>
      </c>
    </row>
    <row r="521" s="11" customFormat="1" spans="1:16">
      <c r="A521" s="32" t="s">
        <v>250</v>
      </c>
      <c r="B521" s="28" t="s">
        <v>53</v>
      </c>
      <c r="C521" s="28"/>
      <c r="D521" s="33" t="str">
        <f>+IFERROR(VLOOKUP(C521,Data,4,FALSE),"Not in data")</f>
        <v>Not in data</v>
      </c>
      <c r="E521" s="34" t="s">
        <v>148</v>
      </c>
      <c r="F521" s="30">
        <v>1</v>
      </c>
      <c r="G521" s="30">
        <v>1</v>
      </c>
      <c r="H521" s="31">
        <v>22.8</v>
      </c>
      <c r="I521" s="40">
        <f t="shared" si="55"/>
        <v>22.8</v>
      </c>
      <c r="J521" s="31" t="str">
        <f>+IFERROR(VLOOKUP(C521,Data,2,FALSE),"Not in weight table")</f>
        <v>Not in weight table</v>
      </c>
      <c r="K521" s="31" t="str">
        <f>+IFERROR(VLOOKUP(C521,Data,3,FALSE),"Not in weight table")</f>
        <v>Not in weight table</v>
      </c>
      <c r="L521" s="44">
        <f t="shared" si="56"/>
        <v>0</v>
      </c>
      <c r="M521" s="42">
        <f t="shared" si="57"/>
        <v>0</v>
      </c>
      <c r="N521" s="43" t="s">
        <v>158</v>
      </c>
      <c r="O521" s="43" t="s">
        <v>158</v>
      </c>
      <c r="P521" s="43" t="s">
        <v>158</v>
      </c>
    </row>
    <row r="522" s="11" customFormat="1" spans="1:16">
      <c r="A522" s="32" t="s">
        <v>250</v>
      </c>
      <c r="B522" s="28" t="s">
        <v>53</v>
      </c>
      <c r="C522" s="28"/>
      <c r="D522" s="33" t="str">
        <f>+IFERROR(VLOOKUP(C522,Data,4,FALSE),"Not in data")</f>
        <v>Not in data</v>
      </c>
      <c r="E522" s="34" t="s">
        <v>148</v>
      </c>
      <c r="F522" s="30">
        <v>1</v>
      </c>
      <c r="G522" s="30">
        <v>1</v>
      </c>
      <c r="H522" s="31">
        <v>15.7</v>
      </c>
      <c r="I522" s="40">
        <f t="shared" si="55"/>
        <v>15.7</v>
      </c>
      <c r="J522" s="31" t="str">
        <f>+IFERROR(VLOOKUP(C522,Data,2,FALSE),"Not in weight table")</f>
        <v>Not in weight table</v>
      </c>
      <c r="K522" s="31" t="str">
        <f>+IFERROR(VLOOKUP(C522,Data,3,FALSE),"Not in weight table")</f>
        <v>Not in weight table</v>
      </c>
      <c r="L522" s="44">
        <f t="shared" si="56"/>
        <v>0</v>
      </c>
      <c r="M522" s="42">
        <f t="shared" si="57"/>
        <v>0</v>
      </c>
      <c r="N522" s="43" t="s">
        <v>158</v>
      </c>
      <c r="O522" s="43" t="s">
        <v>158</v>
      </c>
      <c r="P522" s="43" t="s">
        <v>158</v>
      </c>
    </row>
    <row r="523" s="11" customFormat="1" spans="1:16">
      <c r="A523" s="32" t="s">
        <v>250</v>
      </c>
      <c r="B523" s="28" t="s">
        <v>53</v>
      </c>
      <c r="C523" s="28"/>
      <c r="D523" s="33" t="str">
        <f>+IFERROR(VLOOKUP(C523,Data,4,FALSE),"Not in data")</f>
        <v>Not in data</v>
      </c>
      <c r="E523" s="34" t="s">
        <v>148</v>
      </c>
      <c r="F523" s="30">
        <v>1</v>
      </c>
      <c r="G523" s="30">
        <v>1</v>
      </c>
      <c r="H523" s="31">
        <v>7.2</v>
      </c>
      <c r="I523" s="40">
        <f t="shared" si="55"/>
        <v>7.2</v>
      </c>
      <c r="J523" s="31" t="str">
        <f>+IFERROR(VLOOKUP(C523,Data,2,FALSE),"Not in weight table")</f>
        <v>Not in weight table</v>
      </c>
      <c r="K523" s="31" t="str">
        <f>+IFERROR(VLOOKUP(C523,Data,3,FALSE),"Not in weight table")</f>
        <v>Not in weight table</v>
      </c>
      <c r="L523" s="44">
        <f t="shared" si="56"/>
        <v>0</v>
      </c>
      <c r="M523" s="42">
        <f t="shared" si="57"/>
        <v>0</v>
      </c>
      <c r="N523" s="43" t="s">
        <v>158</v>
      </c>
      <c r="O523" s="43" t="s">
        <v>158</v>
      </c>
      <c r="P523" s="43" t="s">
        <v>158</v>
      </c>
    </row>
    <row r="524" s="11" customFormat="1" spans="1:16">
      <c r="A524" s="32" t="s">
        <v>250</v>
      </c>
      <c r="B524" s="28" t="s">
        <v>53</v>
      </c>
      <c r="C524" s="28"/>
      <c r="D524" s="33" t="str">
        <f>+IFERROR(VLOOKUP(C524,Data,4,FALSE),"Not in data")</f>
        <v>Not in data</v>
      </c>
      <c r="E524" s="34" t="s">
        <v>148</v>
      </c>
      <c r="F524" s="30">
        <v>1</v>
      </c>
      <c r="G524" s="30">
        <v>1</v>
      </c>
      <c r="H524" s="31">
        <v>15.4</v>
      </c>
      <c r="I524" s="40">
        <f t="shared" si="55"/>
        <v>15.4</v>
      </c>
      <c r="J524" s="31" t="str">
        <f>+IFERROR(VLOOKUP(C524,Data,2,FALSE),"Not in weight table")</f>
        <v>Not in weight table</v>
      </c>
      <c r="K524" s="31" t="str">
        <f>+IFERROR(VLOOKUP(C524,Data,3,FALSE),"Not in weight table")</f>
        <v>Not in weight table</v>
      </c>
      <c r="L524" s="44">
        <f t="shared" si="56"/>
        <v>0</v>
      </c>
      <c r="M524" s="42">
        <f t="shared" si="57"/>
        <v>0</v>
      </c>
      <c r="N524" s="43" t="s">
        <v>158</v>
      </c>
      <c r="O524" s="43" t="s">
        <v>158</v>
      </c>
      <c r="P524" s="43" t="s">
        <v>158</v>
      </c>
    </row>
    <row r="525" s="11" customFormat="1" spans="1:16">
      <c r="A525" s="32" t="s">
        <v>250</v>
      </c>
      <c r="B525" s="28" t="s">
        <v>53</v>
      </c>
      <c r="C525" s="28"/>
      <c r="D525" s="33" t="str">
        <f>+IFERROR(VLOOKUP(C525,Data,4,FALSE),"Not in data")</f>
        <v>Not in data</v>
      </c>
      <c r="E525" s="34" t="s">
        <v>148</v>
      </c>
      <c r="F525" s="30">
        <v>1</v>
      </c>
      <c r="G525" s="30">
        <v>1</v>
      </c>
      <c r="H525" s="31">
        <v>9.9</v>
      </c>
      <c r="I525" s="40">
        <f t="shared" si="55"/>
        <v>9.9</v>
      </c>
      <c r="J525" s="31" t="str">
        <f>+IFERROR(VLOOKUP(C525,Data,2,FALSE),"Not in weight table")</f>
        <v>Not in weight table</v>
      </c>
      <c r="K525" s="31" t="str">
        <f>+IFERROR(VLOOKUP(C525,Data,3,FALSE),"Not in weight table")</f>
        <v>Not in weight table</v>
      </c>
      <c r="L525" s="44">
        <f t="shared" si="56"/>
        <v>0</v>
      </c>
      <c r="M525" s="42">
        <f t="shared" si="57"/>
        <v>0</v>
      </c>
      <c r="N525" s="43" t="s">
        <v>158</v>
      </c>
      <c r="O525" s="43" t="s">
        <v>158</v>
      </c>
      <c r="P525" s="43" t="s">
        <v>158</v>
      </c>
    </row>
    <row r="526" s="11" customFormat="1" spans="1:16">
      <c r="A526" s="27" t="s">
        <v>280</v>
      </c>
      <c r="B526" s="28"/>
      <c r="C526" s="28"/>
      <c r="D526" s="33"/>
      <c r="E526" s="34"/>
      <c r="F526" s="30"/>
      <c r="G526" s="30"/>
      <c r="H526" s="31"/>
      <c r="I526" s="40"/>
      <c r="J526" s="31"/>
      <c r="K526" s="31"/>
      <c r="L526" s="44"/>
      <c r="M526" s="42"/>
      <c r="N526" s="43"/>
      <c r="O526" s="43"/>
      <c r="P526" s="43"/>
    </row>
    <row r="527" s="11" customFormat="1" spans="1:16">
      <c r="A527" s="32" t="s">
        <v>281</v>
      </c>
      <c r="B527" s="28" t="s">
        <v>184</v>
      </c>
      <c r="C527" s="28" t="s">
        <v>185</v>
      </c>
      <c r="D527" s="33" t="str">
        <f>+IFERROR(VLOOKUP(C527,Data,4,FALSE),"Not in data")</f>
        <v>Not in data</v>
      </c>
      <c r="E527" s="34" t="s">
        <v>149</v>
      </c>
      <c r="F527" s="30">
        <v>1</v>
      </c>
      <c r="G527" s="30">
        <v>12</v>
      </c>
      <c r="H527" s="31">
        <v>4.6</v>
      </c>
      <c r="I527" s="40">
        <f t="shared" ref="I527:I532" si="58">+IF(F527&lt;&gt;"",F527*G527*H527,0)</f>
        <v>55.2</v>
      </c>
      <c r="J527" s="31" t="str">
        <f>+IFERROR(VLOOKUP(C527,Data,2,FALSE),"Not in weight table")</f>
        <v>Not in weight table</v>
      </c>
      <c r="K527" s="31" t="str">
        <f>+IFERROR(VLOOKUP(C527,Data,3,FALSE),"Not in weight table")</f>
        <v>Not in weight table</v>
      </c>
      <c r="L527" s="44">
        <f t="shared" ref="L527:L532" si="59">+IF(ISNUMBER(J527),I527*J527/1000,0)</f>
        <v>0</v>
      </c>
      <c r="M527" s="42">
        <f t="shared" ref="M527:M532" si="60">+IF(ISNUMBER(K527),I527*K527,0)</f>
        <v>0</v>
      </c>
      <c r="N527" s="43" t="s">
        <v>158</v>
      </c>
      <c r="O527" s="43" t="s">
        <v>158</v>
      </c>
      <c r="P527" s="43" t="s">
        <v>158</v>
      </c>
    </row>
    <row r="528" s="11" customFormat="1" spans="1:16">
      <c r="A528" s="32" t="s">
        <v>281</v>
      </c>
      <c r="B528" s="28" t="s">
        <v>208</v>
      </c>
      <c r="C528" s="28" t="s">
        <v>235</v>
      </c>
      <c r="D528" s="33" t="str">
        <f>+IFERROR(VLOOKUP(C528,Data,4,FALSE),"Not in data")</f>
        <v>S</v>
      </c>
      <c r="E528" s="34" t="s">
        <v>149</v>
      </c>
      <c r="F528" s="30">
        <v>1</v>
      </c>
      <c r="G528" s="30">
        <v>3</v>
      </c>
      <c r="H528" s="31">
        <v>16.8</v>
      </c>
      <c r="I528" s="40">
        <f t="shared" si="58"/>
        <v>50.4</v>
      </c>
      <c r="J528" s="31">
        <f>+IFERROR(VLOOKUP(C528,Data,2,FALSE),"Not in weight table")</f>
        <v>25.7</v>
      </c>
      <c r="K528" s="31">
        <f>+IFERROR(VLOOKUP(C528,Data,3,FALSE),"Not in weight table")</f>
        <v>0.961</v>
      </c>
      <c r="L528" s="44">
        <f t="shared" si="59"/>
        <v>1.29528</v>
      </c>
      <c r="M528" s="42">
        <f t="shared" si="60"/>
        <v>48.4344</v>
      </c>
      <c r="N528" s="43" t="s">
        <v>158</v>
      </c>
      <c r="O528" s="43" t="s">
        <v>158</v>
      </c>
      <c r="P528" s="43" t="s">
        <v>158</v>
      </c>
    </row>
    <row r="529" s="11" customFormat="1" spans="1:16">
      <c r="A529" s="32" t="s">
        <v>281</v>
      </c>
      <c r="B529" s="28" t="s">
        <v>188</v>
      </c>
      <c r="C529" s="28" t="s">
        <v>189</v>
      </c>
      <c r="D529" s="33" t="str">
        <f>+IFERROR(VLOOKUP(C529,Data,4,FALSE),"Not in data")</f>
        <v>S</v>
      </c>
      <c r="E529" s="34" t="s">
        <v>149</v>
      </c>
      <c r="F529" s="30">
        <v>1</v>
      </c>
      <c r="G529" s="30">
        <v>6</v>
      </c>
      <c r="H529" s="31">
        <v>3.1</v>
      </c>
      <c r="I529" s="40">
        <f t="shared" si="58"/>
        <v>18.6</v>
      </c>
      <c r="J529" s="31">
        <f>+IFERROR(VLOOKUP(C529,Data,2,FALSE),"Not in weight table")</f>
        <v>22.9</v>
      </c>
      <c r="K529" s="31">
        <f>+IFERROR(VLOOKUP(C529,Data,3,FALSE),"Not in weight table")</f>
        <v>0.668</v>
      </c>
      <c r="L529" s="44">
        <f t="shared" si="59"/>
        <v>0.42594</v>
      </c>
      <c r="M529" s="42">
        <f t="shared" si="60"/>
        <v>12.4248</v>
      </c>
      <c r="N529" s="43" t="s">
        <v>158</v>
      </c>
      <c r="O529" s="43" t="s">
        <v>158</v>
      </c>
      <c r="P529" s="43" t="s">
        <v>158</v>
      </c>
    </row>
    <row r="530" s="11" customFormat="1" spans="1:16">
      <c r="A530" s="32" t="s">
        <v>281</v>
      </c>
      <c r="B530" s="28" t="s">
        <v>187</v>
      </c>
      <c r="C530" s="28" t="s">
        <v>185</v>
      </c>
      <c r="D530" s="33" t="str">
        <f>+IFERROR(VLOOKUP(C530,Data,4,FALSE),"Not in data")</f>
        <v>Not in data</v>
      </c>
      <c r="E530" s="34" t="s">
        <v>149</v>
      </c>
      <c r="F530" s="30">
        <v>1</v>
      </c>
      <c r="G530" s="30">
        <v>18</v>
      </c>
      <c r="H530" s="31">
        <v>4.6</v>
      </c>
      <c r="I530" s="40">
        <f t="shared" si="58"/>
        <v>82.8</v>
      </c>
      <c r="J530" s="31" t="str">
        <f>+IFERROR(VLOOKUP(C530,Data,2,FALSE),"Not in weight table")</f>
        <v>Not in weight table</v>
      </c>
      <c r="K530" s="31" t="str">
        <f>+IFERROR(VLOOKUP(C530,Data,3,FALSE),"Not in weight table")</f>
        <v>Not in weight table</v>
      </c>
      <c r="L530" s="44">
        <f t="shared" si="59"/>
        <v>0</v>
      </c>
      <c r="M530" s="42">
        <f t="shared" si="60"/>
        <v>0</v>
      </c>
      <c r="N530" s="43" t="s">
        <v>158</v>
      </c>
      <c r="O530" s="43" t="s">
        <v>158</v>
      </c>
      <c r="P530" s="43" t="s">
        <v>158</v>
      </c>
    </row>
    <row r="531" s="11" customFormat="1" spans="1:16">
      <c r="A531" s="32" t="s">
        <v>281</v>
      </c>
      <c r="B531" s="28" t="s">
        <v>187</v>
      </c>
      <c r="C531" s="28" t="s">
        <v>185</v>
      </c>
      <c r="D531" s="33" t="str">
        <f>+IFERROR(VLOOKUP(C531,Data,4,FALSE),"Not in data")</f>
        <v>Not in data</v>
      </c>
      <c r="E531" s="34" t="s">
        <v>149</v>
      </c>
      <c r="F531" s="30">
        <v>1</v>
      </c>
      <c r="G531" s="30">
        <v>18</v>
      </c>
      <c r="H531" s="31">
        <v>3.25</v>
      </c>
      <c r="I531" s="40">
        <f t="shared" si="58"/>
        <v>58.5</v>
      </c>
      <c r="J531" s="31" t="str">
        <f>+IFERROR(VLOOKUP(C531,Data,2,FALSE),"Not in weight table")</f>
        <v>Not in weight table</v>
      </c>
      <c r="K531" s="31" t="str">
        <f>+IFERROR(VLOOKUP(C531,Data,3,FALSE),"Not in weight table")</f>
        <v>Not in weight table</v>
      </c>
      <c r="L531" s="44">
        <f t="shared" si="59"/>
        <v>0</v>
      </c>
      <c r="M531" s="42">
        <f t="shared" si="60"/>
        <v>0</v>
      </c>
      <c r="N531" s="43" t="s">
        <v>158</v>
      </c>
      <c r="O531" s="43" t="s">
        <v>158</v>
      </c>
      <c r="P531" s="43" t="s">
        <v>158</v>
      </c>
    </row>
    <row r="532" s="11" customFormat="1" spans="1:16">
      <c r="A532" s="32" t="s">
        <v>281</v>
      </c>
      <c r="B532" s="28" t="s">
        <v>187</v>
      </c>
      <c r="C532" s="28" t="s">
        <v>185</v>
      </c>
      <c r="D532" s="33" t="str">
        <f>+IFERROR(VLOOKUP(C532,Data,4,FALSE),"Not in data")</f>
        <v>Not in data</v>
      </c>
      <c r="E532" s="34" t="s">
        <v>149</v>
      </c>
      <c r="F532" s="30">
        <v>1</v>
      </c>
      <c r="G532" s="30">
        <v>19</v>
      </c>
      <c r="H532" s="31">
        <v>3.25</v>
      </c>
      <c r="I532" s="40">
        <f t="shared" si="58"/>
        <v>61.75</v>
      </c>
      <c r="J532" s="31" t="str">
        <f>+IFERROR(VLOOKUP(C532,Data,2,FALSE),"Not in weight table")</f>
        <v>Not in weight table</v>
      </c>
      <c r="K532" s="31" t="str">
        <f>+IFERROR(VLOOKUP(C532,Data,3,FALSE),"Not in weight table")</f>
        <v>Not in weight table</v>
      </c>
      <c r="L532" s="44">
        <f t="shared" si="59"/>
        <v>0</v>
      </c>
      <c r="M532" s="42">
        <f t="shared" si="60"/>
        <v>0</v>
      </c>
      <c r="N532" s="43" t="s">
        <v>158</v>
      </c>
      <c r="O532" s="43" t="s">
        <v>158</v>
      </c>
      <c r="P532" s="43" t="s">
        <v>158</v>
      </c>
    </row>
    <row r="533" s="11" customFormat="1" spans="1:16">
      <c r="A533" s="32" t="s">
        <v>281</v>
      </c>
      <c r="B533" s="28" t="s">
        <v>187</v>
      </c>
      <c r="C533" s="28" t="s">
        <v>185</v>
      </c>
      <c r="D533" s="33" t="str">
        <f>+IFERROR(VLOOKUP(C533,Data,4,FALSE),"Not in data")</f>
        <v>Not in data</v>
      </c>
      <c r="E533" s="34" t="s">
        <v>149</v>
      </c>
      <c r="F533" s="30">
        <v>1</v>
      </c>
      <c r="G533" s="30">
        <v>19</v>
      </c>
      <c r="H533" s="31">
        <v>4.6</v>
      </c>
      <c r="I533" s="40">
        <f>+IF(F533&lt;&gt;"",F533*G533*H533,0)</f>
        <v>87.4</v>
      </c>
      <c r="J533" s="31" t="str">
        <f>+IFERROR(VLOOKUP(C533,Data,2,FALSE),"Not in weight table")</f>
        <v>Not in weight table</v>
      </c>
      <c r="K533" s="31" t="str">
        <f>+IFERROR(VLOOKUP(C533,Data,3,FALSE),"Not in weight table")</f>
        <v>Not in weight table</v>
      </c>
      <c r="L533" s="44">
        <f>+IF(ISNUMBER(J533),I533*J533/1000,0)</f>
        <v>0</v>
      </c>
      <c r="M533" s="42">
        <f>+IF(ISNUMBER(K533),I533*K533,0)</f>
        <v>0</v>
      </c>
      <c r="N533" s="43" t="s">
        <v>158</v>
      </c>
      <c r="O533" s="43" t="s">
        <v>158</v>
      </c>
      <c r="P533" s="43" t="s">
        <v>158</v>
      </c>
    </row>
    <row r="534" s="11" customFormat="1" spans="1:16">
      <c r="A534" s="32" t="s">
        <v>281</v>
      </c>
      <c r="B534" s="28" t="s">
        <v>206</v>
      </c>
      <c r="C534" s="28" t="s">
        <v>207</v>
      </c>
      <c r="D534" s="33" t="str">
        <f>+IFERROR(VLOOKUP(C534,Data,4,FALSE),"Not in data")</f>
        <v>S</v>
      </c>
      <c r="E534" s="34" t="s">
        <v>149</v>
      </c>
      <c r="F534" s="30">
        <v>1</v>
      </c>
      <c r="G534" s="30">
        <v>2</v>
      </c>
      <c r="H534" s="31">
        <v>7</v>
      </c>
      <c r="I534" s="40">
        <f>+IF(F534&lt;&gt;"",F534*G534*H534,0)</f>
        <v>14</v>
      </c>
      <c r="J534" s="31">
        <f>+IFERROR(VLOOKUP(C534,Data,2,FALSE),"Not in weight table")</f>
        <v>4.56</v>
      </c>
      <c r="K534" s="31">
        <f>+IFERROR(VLOOKUP(C534,Data,3,FALSE),"Not in weight table")</f>
        <v>0.255</v>
      </c>
      <c r="L534" s="44">
        <f>+IF(ISNUMBER(J534),I534*J534/1000,0)</f>
        <v>0.06384</v>
      </c>
      <c r="M534" s="42">
        <f>+IF(ISNUMBER(K534),I534*K534,0)</f>
        <v>3.57</v>
      </c>
      <c r="N534" s="43" t="s">
        <v>158</v>
      </c>
      <c r="O534" s="43" t="s">
        <v>158</v>
      </c>
      <c r="P534" s="43" t="s">
        <v>158</v>
      </c>
    </row>
    <row r="535" s="11" customFormat="1" spans="1:16">
      <c r="A535" s="32" t="s">
        <v>281</v>
      </c>
      <c r="B535" s="28" t="s">
        <v>191</v>
      </c>
      <c r="C535" s="28" t="s">
        <v>282</v>
      </c>
      <c r="D535" s="33" t="str">
        <f>+IFERROR(VLOOKUP(C535,Data,4,FALSE),"Not in data")</f>
        <v>Not in data</v>
      </c>
      <c r="E535" s="34" t="s">
        <v>149</v>
      </c>
      <c r="F535" s="30">
        <v>1</v>
      </c>
      <c r="G535" s="30">
        <v>8</v>
      </c>
      <c r="H535" s="31">
        <v>2.1</v>
      </c>
      <c r="I535" s="40">
        <f>+IF(F535&lt;&gt;"",F535*G535*H535,0)</f>
        <v>16.8</v>
      </c>
      <c r="J535" s="31" t="str">
        <f>+IFERROR(VLOOKUP(C535,Data,2,FALSE),"Not in weight table")</f>
        <v>Not in weight table</v>
      </c>
      <c r="K535" s="31" t="str">
        <f>+IFERROR(VLOOKUP(C535,Data,3,FALSE),"Not in weight table")</f>
        <v>Not in weight table</v>
      </c>
      <c r="L535" s="44">
        <f>+IF(ISNUMBER(J535),I535*J535/1000,0)</f>
        <v>0</v>
      </c>
      <c r="M535" s="42">
        <f>+IF(ISNUMBER(K535),I535*K535,0)</f>
        <v>0</v>
      </c>
      <c r="N535" s="43" t="s">
        <v>158</v>
      </c>
      <c r="O535" s="43" t="s">
        <v>158</v>
      </c>
      <c r="P535" s="43" t="s">
        <v>158</v>
      </c>
    </row>
    <row r="536" s="11" customFormat="1" spans="1:16">
      <c r="A536" s="32" t="s">
        <v>281</v>
      </c>
      <c r="B536" s="28" t="s">
        <v>195</v>
      </c>
      <c r="C536" s="28" t="s">
        <v>282</v>
      </c>
      <c r="D536" s="33" t="s">
        <v>136</v>
      </c>
      <c r="E536" s="34" t="s">
        <v>149</v>
      </c>
      <c r="F536" s="30">
        <v>1</v>
      </c>
      <c r="G536" s="30">
        <v>5</v>
      </c>
      <c r="H536" s="31">
        <v>3.9</v>
      </c>
      <c r="I536" s="40">
        <v>16.8</v>
      </c>
      <c r="J536" s="31" t="s">
        <v>283</v>
      </c>
      <c r="K536" s="31" t="s">
        <v>283</v>
      </c>
      <c r="L536" s="44">
        <v>0</v>
      </c>
      <c r="M536" s="42">
        <v>0</v>
      </c>
      <c r="N536" s="43" t="s">
        <v>158</v>
      </c>
      <c r="O536" s="43" t="s">
        <v>158</v>
      </c>
      <c r="P536" s="43" t="s">
        <v>158</v>
      </c>
    </row>
    <row r="537" s="11" customFormat="1" spans="1:16">
      <c r="A537" s="32" t="s">
        <v>281</v>
      </c>
      <c r="B537" s="28" t="s">
        <v>199</v>
      </c>
      <c r="C537" s="28" t="s">
        <v>200</v>
      </c>
      <c r="D537" s="33" t="s">
        <v>136</v>
      </c>
      <c r="E537" s="34" t="s">
        <v>149</v>
      </c>
      <c r="F537" s="30">
        <v>1</v>
      </c>
      <c r="G537" s="30">
        <v>2</v>
      </c>
      <c r="H537" s="31">
        <v>3.9</v>
      </c>
      <c r="I537" s="40">
        <v>16.8</v>
      </c>
      <c r="J537" s="31" t="s">
        <v>283</v>
      </c>
      <c r="K537" s="31" t="s">
        <v>283</v>
      </c>
      <c r="L537" s="44">
        <v>0</v>
      </c>
      <c r="M537" s="42">
        <v>0</v>
      </c>
      <c r="N537" s="43" t="s">
        <v>158</v>
      </c>
      <c r="O537" s="43" t="s">
        <v>158</v>
      </c>
      <c r="P537" s="43" t="s">
        <v>158</v>
      </c>
    </row>
    <row r="538" s="11" customFormat="1" spans="1:16">
      <c r="A538" s="32" t="s">
        <v>281</v>
      </c>
      <c r="B538" s="28" t="s">
        <v>196</v>
      </c>
      <c r="C538" s="28" t="s">
        <v>189</v>
      </c>
      <c r="D538" s="33" t="s">
        <v>136</v>
      </c>
      <c r="E538" s="34" t="s">
        <v>149</v>
      </c>
      <c r="F538" s="30">
        <v>1</v>
      </c>
      <c r="G538" s="30">
        <v>2</v>
      </c>
      <c r="H538" s="31">
        <v>3.9</v>
      </c>
      <c r="I538" s="40">
        <v>16.8</v>
      </c>
      <c r="J538" s="31" t="s">
        <v>283</v>
      </c>
      <c r="K538" s="31" t="s">
        <v>283</v>
      </c>
      <c r="L538" s="44">
        <v>0</v>
      </c>
      <c r="M538" s="42">
        <v>0</v>
      </c>
      <c r="N538" s="43" t="s">
        <v>158</v>
      </c>
      <c r="O538" s="43" t="s">
        <v>158</v>
      </c>
      <c r="P538" s="43" t="s">
        <v>158</v>
      </c>
    </row>
    <row r="539" s="11" customFormat="1" spans="1:16">
      <c r="A539" s="32" t="s">
        <v>281</v>
      </c>
      <c r="B539" s="28" t="s">
        <v>196</v>
      </c>
      <c r="C539" s="28" t="s">
        <v>189</v>
      </c>
      <c r="D539" s="33" t="s">
        <v>136</v>
      </c>
      <c r="E539" s="34" t="s">
        <v>149</v>
      </c>
      <c r="F539" s="30">
        <v>1</v>
      </c>
      <c r="G539" s="30">
        <v>2</v>
      </c>
      <c r="H539" s="31">
        <v>7.6</v>
      </c>
      <c r="I539" s="40">
        <v>16.8</v>
      </c>
      <c r="J539" s="31" t="s">
        <v>283</v>
      </c>
      <c r="K539" s="31" t="s">
        <v>283</v>
      </c>
      <c r="L539" s="44">
        <v>0</v>
      </c>
      <c r="M539" s="42">
        <v>0</v>
      </c>
      <c r="N539" s="43" t="s">
        <v>158</v>
      </c>
      <c r="O539" s="43" t="s">
        <v>158</v>
      </c>
      <c r="P539" s="43" t="s">
        <v>158</v>
      </c>
    </row>
    <row r="540" s="11" customFormat="1" spans="1:16">
      <c r="A540" s="32" t="s">
        <v>281</v>
      </c>
      <c r="B540" s="28" t="s">
        <v>193</v>
      </c>
      <c r="C540" s="28" t="s">
        <v>194</v>
      </c>
      <c r="D540" s="33" t="s">
        <v>136</v>
      </c>
      <c r="E540" s="34" t="s">
        <v>149</v>
      </c>
      <c r="F540" s="30">
        <v>1</v>
      </c>
      <c r="G540" s="30">
        <v>2</v>
      </c>
      <c r="H540" s="31">
        <v>7.5</v>
      </c>
      <c r="I540" s="40">
        <v>16.8</v>
      </c>
      <c r="J540" s="31" t="s">
        <v>283</v>
      </c>
      <c r="K540" s="31" t="s">
        <v>283</v>
      </c>
      <c r="L540" s="44">
        <v>0</v>
      </c>
      <c r="M540" s="42">
        <v>0</v>
      </c>
      <c r="N540" s="43" t="s">
        <v>158</v>
      </c>
      <c r="O540" s="43" t="s">
        <v>158</v>
      </c>
      <c r="P540" s="43" t="s">
        <v>158</v>
      </c>
    </row>
    <row r="541" s="11" customFormat="1" spans="1:16">
      <c r="A541" s="32" t="s">
        <v>281</v>
      </c>
      <c r="B541" s="28" t="s">
        <v>206</v>
      </c>
      <c r="C541" s="28" t="s">
        <v>207</v>
      </c>
      <c r="D541" s="33" t="str">
        <f>+IFERROR(VLOOKUP(C541,Data,4,FALSE),"Not in data")</f>
        <v>S</v>
      </c>
      <c r="E541" s="34" t="s">
        <v>149</v>
      </c>
      <c r="F541" s="30">
        <v>1</v>
      </c>
      <c r="G541" s="30">
        <v>2</v>
      </c>
      <c r="H541" s="31">
        <v>9.8</v>
      </c>
      <c r="I541" s="40">
        <f t="shared" ref="I541:I551" si="61">+IF(F541&lt;&gt;"",F541*G541*H541,0)</f>
        <v>19.6</v>
      </c>
      <c r="J541" s="31">
        <f>+IFERROR(VLOOKUP(C541,Data,2,FALSE),"Not in weight table")</f>
        <v>4.56</v>
      </c>
      <c r="K541" s="31">
        <f>+IFERROR(VLOOKUP(C541,Data,3,FALSE),"Not in weight table")</f>
        <v>0.255</v>
      </c>
      <c r="L541" s="44">
        <f t="shared" ref="L541:L551" si="62">+IF(ISNUMBER(J541),I541*J541/1000,0)</f>
        <v>0.089376</v>
      </c>
      <c r="M541" s="42">
        <f t="shared" ref="M541:M551" si="63">+IF(ISNUMBER(K541),I541*K541,0)</f>
        <v>4.998</v>
      </c>
      <c r="N541" s="43" t="s">
        <v>158</v>
      </c>
      <c r="O541" s="43" t="s">
        <v>158</v>
      </c>
      <c r="P541" s="43" t="s">
        <v>158</v>
      </c>
    </row>
    <row r="542" s="11" customFormat="1" spans="1:16">
      <c r="A542" s="32" t="s">
        <v>281</v>
      </c>
      <c r="B542" s="28" t="s">
        <v>201</v>
      </c>
      <c r="C542" s="28" t="s">
        <v>202</v>
      </c>
      <c r="D542" s="33" t="str">
        <f>+IFERROR(VLOOKUP(C542,Data,4,FALSE),"Not in data")</f>
        <v>T</v>
      </c>
      <c r="E542" s="34" t="s">
        <v>149</v>
      </c>
      <c r="F542" s="30">
        <v>1</v>
      </c>
      <c r="G542" s="30">
        <v>2</v>
      </c>
      <c r="H542" s="31">
        <v>9.8</v>
      </c>
      <c r="I542" s="40">
        <f t="shared" si="61"/>
        <v>19.6</v>
      </c>
      <c r="J542" s="31">
        <f>+IFERROR(VLOOKUP(C542,Data,2,FALSE),"Not in weight table")</f>
        <v>19.4</v>
      </c>
      <c r="K542" s="31">
        <f>+IFERROR(VLOOKUP(C542,Data,3,FALSE),"Not in weight table")</f>
        <v>0.529</v>
      </c>
      <c r="L542" s="44">
        <f t="shared" si="62"/>
        <v>0.38024</v>
      </c>
      <c r="M542" s="42">
        <f t="shared" si="63"/>
        <v>10.3684</v>
      </c>
      <c r="N542" s="43" t="s">
        <v>158</v>
      </c>
      <c r="O542" s="43" t="s">
        <v>158</v>
      </c>
      <c r="P542" s="43" t="s">
        <v>158</v>
      </c>
    </row>
    <row r="543" s="11" customFormat="1" spans="1:16">
      <c r="A543" s="32" t="s">
        <v>281</v>
      </c>
      <c r="B543" s="28" t="s">
        <v>196</v>
      </c>
      <c r="C543" s="28" t="s">
        <v>189</v>
      </c>
      <c r="D543" s="33" t="s">
        <v>136</v>
      </c>
      <c r="E543" s="34" t="s">
        <v>149</v>
      </c>
      <c r="F543" s="30">
        <v>1</v>
      </c>
      <c r="G543" s="30">
        <v>1</v>
      </c>
      <c r="H543" s="31">
        <v>7.5</v>
      </c>
      <c r="I543" s="40">
        <v>16.8</v>
      </c>
      <c r="J543" s="31" t="s">
        <v>283</v>
      </c>
      <c r="K543" s="31" t="s">
        <v>283</v>
      </c>
      <c r="L543" s="44">
        <v>0</v>
      </c>
      <c r="M543" s="42">
        <v>0</v>
      </c>
      <c r="N543" s="43" t="s">
        <v>158</v>
      </c>
      <c r="O543" s="43" t="s">
        <v>158</v>
      </c>
      <c r="P543" s="43" t="s">
        <v>158</v>
      </c>
    </row>
    <row r="544" s="11" customFormat="1" spans="1:16">
      <c r="A544" s="32" t="s">
        <v>281</v>
      </c>
      <c r="B544" s="28" t="s">
        <v>196</v>
      </c>
      <c r="C544" s="28" t="s">
        <v>189</v>
      </c>
      <c r="D544" s="33" t="s">
        <v>136</v>
      </c>
      <c r="E544" s="34" t="s">
        <v>149</v>
      </c>
      <c r="F544" s="30">
        <v>1</v>
      </c>
      <c r="G544" s="30">
        <v>1</v>
      </c>
      <c r="H544" s="31">
        <v>9.2</v>
      </c>
      <c r="I544" s="40">
        <v>16.8</v>
      </c>
      <c r="J544" s="31" t="s">
        <v>283</v>
      </c>
      <c r="K544" s="31" t="s">
        <v>283</v>
      </c>
      <c r="L544" s="44">
        <v>0</v>
      </c>
      <c r="M544" s="42">
        <v>0</v>
      </c>
      <c r="N544" s="43" t="s">
        <v>158</v>
      </c>
      <c r="O544" s="43" t="s">
        <v>158</v>
      </c>
      <c r="P544" s="43" t="s">
        <v>158</v>
      </c>
    </row>
    <row r="545" s="11" customFormat="1" spans="1:16">
      <c r="A545" s="32" t="s">
        <v>281</v>
      </c>
      <c r="B545" s="28" t="s">
        <v>201</v>
      </c>
      <c r="C545" s="28" t="s">
        <v>202</v>
      </c>
      <c r="D545" s="33" t="str">
        <f>+IFERROR(VLOOKUP(C545,Data,4,FALSE),"Not in data")</f>
        <v>T</v>
      </c>
      <c r="E545" s="34" t="s">
        <v>149</v>
      </c>
      <c r="F545" s="30">
        <v>1</v>
      </c>
      <c r="G545" s="30">
        <v>1</v>
      </c>
      <c r="H545" s="31">
        <v>8.1</v>
      </c>
      <c r="I545" s="40">
        <f t="shared" si="61"/>
        <v>8.1</v>
      </c>
      <c r="J545" s="31">
        <f>+IFERROR(VLOOKUP(C545,Data,2,FALSE),"Not in weight table")</f>
        <v>19.4</v>
      </c>
      <c r="K545" s="31">
        <f>+IFERROR(VLOOKUP(C545,Data,3,FALSE),"Not in weight table")</f>
        <v>0.529</v>
      </c>
      <c r="L545" s="44">
        <f t="shared" si="62"/>
        <v>0.15714</v>
      </c>
      <c r="M545" s="42">
        <f t="shared" si="63"/>
        <v>4.2849</v>
      </c>
      <c r="N545" s="43" t="s">
        <v>158</v>
      </c>
      <c r="O545" s="43" t="s">
        <v>158</v>
      </c>
      <c r="P545" s="43" t="s">
        <v>158</v>
      </c>
    </row>
    <row r="546" s="11" customFormat="1" spans="1:16">
      <c r="A546" s="32" t="s">
        <v>281</v>
      </c>
      <c r="B546" s="28" t="s">
        <v>201</v>
      </c>
      <c r="C546" s="28" t="s">
        <v>202</v>
      </c>
      <c r="D546" s="33" t="str">
        <f>+IFERROR(VLOOKUP(C546,Data,4,FALSE),"Not in data")</f>
        <v>T</v>
      </c>
      <c r="E546" s="34" t="s">
        <v>149</v>
      </c>
      <c r="F546" s="30">
        <v>1</v>
      </c>
      <c r="G546" s="30">
        <v>1</v>
      </c>
      <c r="H546" s="31">
        <v>8.4</v>
      </c>
      <c r="I546" s="40">
        <f t="shared" si="61"/>
        <v>8.4</v>
      </c>
      <c r="J546" s="31">
        <f>+IFERROR(VLOOKUP(C546,Data,2,FALSE),"Not in weight table")</f>
        <v>19.4</v>
      </c>
      <c r="K546" s="31">
        <f>+IFERROR(VLOOKUP(C546,Data,3,FALSE),"Not in weight table")</f>
        <v>0.529</v>
      </c>
      <c r="L546" s="44">
        <f t="shared" si="62"/>
        <v>0.16296</v>
      </c>
      <c r="M546" s="42">
        <f t="shared" si="63"/>
        <v>4.4436</v>
      </c>
      <c r="N546" s="43" t="s">
        <v>158</v>
      </c>
      <c r="O546" s="43" t="s">
        <v>158</v>
      </c>
      <c r="P546" s="43" t="s">
        <v>158</v>
      </c>
    </row>
    <row r="547" s="11" customFormat="1" spans="1:16">
      <c r="A547" s="32" t="s">
        <v>281</v>
      </c>
      <c r="B547" s="28" t="s">
        <v>206</v>
      </c>
      <c r="C547" s="28" t="s">
        <v>207</v>
      </c>
      <c r="D547" s="33" t="str">
        <f>+IFERROR(VLOOKUP(C547,Data,4,FALSE),"Not in data")</f>
        <v>S</v>
      </c>
      <c r="E547" s="34" t="s">
        <v>149</v>
      </c>
      <c r="F547" s="30">
        <v>1</v>
      </c>
      <c r="G547" s="30">
        <v>1</v>
      </c>
      <c r="H547" s="31">
        <v>10.2</v>
      </c>
      <c r="I547" s="40">
        <f t="shared" si="61"/>
        <v>10.2</v>
      </c>
      <c r="J547" s="31">
        <f>+IFERROR(VLOOKUP(C547,Data,2,FALSE),"Not in weight table")</f>
        <v>4.56</v>
      </c>
      <c r="K547" s="31">
        <f>+IFERROR(VLOOKUP(C547,Data,3,FALSE),"Not in weight table")</f>
        <v>0.255</v>
      </c>
      <c r="L547" s="44">
        <f t="shared" si="62"/>
        <v>0.046512</v>
      </c>
      <c r="M547" s="42">
        <f t="shared" si="63"/>
        <v>2.601</v>
      </c>
      <c r="N547" s="43" t="s">
        <v>158</v>
      </c>
      <c r="O547" s="43" t="s">
        <v>158</v>
      </c>
      <c r="P547" s="43" t="s">
        <v>158</v>
      </c>
    </row>
    <row r="548" s="11" customFormat="1" spans="1:16">
      <c r="A548" s="32" t="s">
        <v>281</v>
      </c>
      <c r="B548" s="28" t="s">
        <v>206</v>
      </c>
      <c r="C548" s="28" t="s">
        <v>207</v>
      </c>
      <c r="D548" s="33" t="str">
        <f>+IFERROR(VLOOKUP(C548,Data,4,FALSE),"Not in data")</f>
        <v>S</v>
      </c>
      <c r="E548" s="34" t="s">
        <v>149</v>
      </c>
      <c r="F548" s="30">
        <v>1</v>
      </c>
      <c r="G548" s="30">
        <v>1</v>
      </c>
      <c r="H548" s="31">
        <v>10</v>
      </c>
      <c r="I548" s="40">
        <f t="shared" si="61"/>
        <v>10</v>
      </c>
      <c r="J548" s="31">
        <f>+IFERROR(VLOOKUP(C548,Data,2,FALSE),"Not in weight table")</f>
        <v>4.56</v>
      </c>
      <c r="K548" s="31">
        <f>+IFERROR(VLOOKUP(C548,Data,3,FALSE),"Not in weight table")</f>
        <v>0.255</v>
      </c>
      <c r="L548" s="44">
        <f t="shared" si="62"/>
        <v>0.0456</v>
      </c>
      <c r="M548" s="42">
        <f t="shared" si="63"/>
        <v>2.55</v>
      </c>
      <c r="N548" s="43" t="s">
        <v>158</v>
      </c>
      <c r="O548" s="43" t="s">
        <v>158</v>
      </c>
      <c r="P548" s="43" t="s">
        <v>158</v>
      </c>
    </row>
    <row r="549" s="11" customFormat="1" spans="1:16">
      <c r="A549" s="32" t="s">
        <v>281</v>
      </c>
      <c r="B549" s="28" t="s">
        <v>188</v>
      </c>
      <c r="C549" s="28" t="s">
        <v>189</v>
      </c>
      <c r="D549" s="33" t="str">
        <f>+IFERROR(VLOOKUP(C549,Data,4,FALSE),"Not in data")</f>
        <v>S</v>
      </c>
      <c r="E549" s="34" t="s">
        <v>149</v>
      </c>
      <c r="F549" s="30">
        <v>1</v>
      </c>
      <c r="G549" s="30">
        <v>2</v>
      </c>
      <c r="H549" s="31">
        <v>3.1</v>
      </c>
      <c r="I549" s="40">
        <f t="shared" si="61"/>
        <v>6.2</v>
      </c>
      <c r="J549" s="31">
        <f>+IFERROR(VLOOKUP(C549,Data,2,FALSE),"Not in weight table")</f>
        <v>22.9</v>
      </c>
      <c r="K549" s="31">
        <f>+IFERROR(VLOOKUP(C549,Data,3,FALSE),"Not in weight table")</f>
        <v>0.668</v>
      </c>
      <c r="L549" s="44">
        <f t="shared" si="62"/>
        <v>0.14198</v>
      </c>
      <c r="M549" s="42">
        <f t="shared" si="63"/>
        <v>4.1416</v>
      </c>
      <c r="N549" s="43" t="s">
        <v>158</v>
      </c>
      <c r="O549" s="43" t="s">
        <v>158</v>
      </c>
      <c r="P549" s="43" t="s">
        <v>158</v>
      </c>
    </row>
    <row r="550" s="11" customFormat="1" spans="1:16">
      <c r="A550" s="32" t="s">
        <v>281</v>
      </c>
      <c r="B550" s="28" t="s">
        <v>184</v>
      </c>
      <c r="C550" s="28" t="s">
        <v>185</v>
      </c>
      <c r="D550" s="33" t="str">
        <f>+IFERROR(VLOOKUP(C550,Data,4,FALSE),"Not in data")</f>
        <v>Not in data</v>
      </c>
      <c r="E550" s="34" t="s">
        <v>149</v>
      </c>
      <c r="F550" s="30">
        <v>1</v>
      </c>
      <c r="G550" s="30">
        <v>4</v>
      </c>
      <c r="H550" s="31">
        <v>4.6</v>
      </c>
      <c r="I550" s="40">
        <f t="shared" si="61"/>
        <v>18.4</v>
      </c>
      <c r="J550" s="31" t="str">
        <f>+IFERROR(VLOOKUP(C550,Data,2,FALSE),"Not in weight table")</f>
        <v>Not in weight table</v>
      </c>
      <c r="K550" s="31" t="str">
        <f>+IFERROR(VLOOKUP(C550,Data,3,FALSE),"Not in weight table")</f>
        <v>Not in weight table</v>
      </c>
      <c r="L550" s="44">
        <f t="shared" si="62"/>
        <v>0</v>
      </c>
      <c r="M550" s="42">
        <f t="shared" si="63"/>
        <v>0</v>
      </c>
      <c r="N550" s="43" t="s">
        <v>158</v>
      </c>
      <c r="O550" s="43" t="s">
        <v>158</v>
      </c>
      <c r="P550" s="43" t="s">
        <v>158</v>
      </c>
    </row>
    <row r="551" s="11" customFormat="1" spans="1:16">
      <c r="A551" s="32" t="s">
        <v>281</v>
      </c>
      <c r="B551" s="28" t="s">
        <v>208</v>
      </c>
      <c r="C551" s="28" t="s">
        <v>235</v>
      </c>
      <c r="D551" s="33" t="str">
        <f>+IFERROR(VLOOKUP(C551,Data,4,FALSE),"Not in data")</f>
        <v>S</v>
      </c>
      <c r="E551" s="34" t="s">
        <v>149</v>
      </c>
      <c r="F551" s="30">
        <v>1</v>
      </c>
      <c r="G551" s="30">
        <v>1</v>
      </c>
      <c r="H551" s="31">
        <v>16.7</v>
      </c>
      <c r="I551" s="40">
        <f t="shared" si="61"/>
        <v>16.7</v>
      </c>
      <c r="J551" s="31">
        <f>+IFERROR(VLOOKUP(C551,Data,2,FALSE),"Not in weight table")</f>
        <v>25.7</v>
      </c>
      <c r="K551" s="31">
        <f>+IFERROR(VLOOKUP(C551,Data,3,FALSE),"Not in weight table")</f>
        <v>0.961</v>
      </c>
      <c r="L551" s="44">
        <f t="shared" si="62"/>
        <v>0.42919</v>
      </c>
      <c r="M551" s="42">
        <f t="shared" si="63"/>
        <v>16.0487</v>
      </c>
      <c r="N551" s="43" t="s">
        <v>158</v>
      </c>
      <c r="O551" s="43" t="s">
        <v>158</v>
      </c>
      <c r="P551" s="43" t="s">
        <v>158</v>
      </c>
    </row>
    <row r="552" s="11" customFormat="1" spans="1:16">
      <c r="A552" s="32" t="s">
        <v>281</v>
      </c>
      <c r="B552" s="28" t="s">
        <v>196</v>
      </c>
      <c r="C552" s="28" t="s">
        <v>189</v>
      </c>
      <c r="D552" s="33" t="s">
        <v>136</v>
      </c>
      <c r="E552" s="34" t="s">
        <v>149</v>
      </c>
      <c r="F552" s="30">
        <v>1</v>
      </c>
      <c r="G552" s="30">
        <v>2</v>
      </c>
      <c r="H552" s="31">
        <v>3.75</v>
      </c>
      <c r="I552" s="40">
        <v>16.8</v>
      </c>
      <c r="J552" s="31" t="s">
        <v>283</v>
      </c>
      <c r="K552" s="31" t="s">
        <v>283</v>
      </c>
      <c r="L552" s="44">
        <v>0</v>
      </c>
      <c r="M552" s="42">
        <v>0</v>
      </c>
      <c r="N552" s="43" t="s">
        <v>158</v>
      </c>
      <c r="O552" s="43" t="s">
        <v>158</v>
      </c>
      <c r="P552" s="43" t="s">
        <v>158</v>
      </c>
    </row>
    <row r="553" s="11" customFormat="1" spans="1:16">
      <c r="A553" s="32" t="s">
        <v>281</v>
      </c>
      <c r="B553" s="28" t="s">
        <v>206</v>
      </c>
      <c r="C553" s="28" t="s">
        <v>207</v>
      </c>
      <c r="D553" s="33" t="str">
        <f>+IFERROR(VLOOKUP(C553,Data,4,FALSE),"Not in data")</f>
        <v>S</v>
      </c>
      <c r="E553" s="34" t="s">
        <v>149</v>
      </c>
      <c r="F553" s="30">
        <v>1</v>
      </c>
      <c r="G553" s="30">
        <v>1</v>
      </c>
      <c r="H553" s="31">
        <v>7.3</v>
      </c>
      <c r="I553" s="40">
        <f t="shared" ref="I553:I560" si="64">+IF(F553&lt;&gt;"",F553*G553*H553,0)</f>
        <v>7.3</v>
      </c>
      <c r="J553" s="31">
        <f>+IFERROR(VLOOKUP(C553,Data,2,FALSE),"Not in weight table")</f>
        <v>4.56</v>
      </c>
      <c r="K553" s="31">
        <f>+IFERROR(VLOOKUP(C553,Data,3,FALSE),"Not in weight table")</f>
        <v>0.255</v>
      </c>
      <c r="L553" s="44">
        <f t="shared" ref="L553:L560" si="65">+IF(ISNUMBER(J553),I553*J553/1000,0)</f>
        <v>0.033288</v>
      </c>
      <c r="M553" s="42">
        <f t="shared" ref="M553:M560" si="66">+IF(ISNUMBER(K553),I553*K553,0)</f>
        <v>1.8615</v>
      </c>
      <c r="N553" s="43" t="s">
        <v>158</v>
      </c>
      <c r="O553" s="43" t="s">
        <v>158</v>
      </c>
      <c r="P553" s="43" t="s">
        <v>158</v>
      </c>
    </row>
    <row r="554" s="11" customFormat="1" spans="1:16">
      <c r="A554" s="32" t="s">
        <v>281</v>
      </c>
      <c r="B554" s="28" t="s">
        <v>206</v>
      </c>
      <c r="C554" s="28" t="s">
        <v>207</v>
      </c>
      <c r="D554" s="33" t="str">
        <f>+IFERROR(VLOOKUP(C554,Data,4,FALSE),"Not in data")</f>
        <v>S</v>
      </c>
      <c r="E554" s="34" t="s">
        <v>149</v>
      </c>
      <c r="F554" s="30">
        <v>1</v>
      </c>
      <c r="G554" s="30">
        <v>1</v>
      </c>
      <c r="H554" s="31">
        <v>7.1</v>
      </c>
      <c r="I554" s="40">
        <f t="shared" si="64"/>
        <v>7.1</v>
      </c>
      <c r="J554" s="31">
        <f>+IFERROR(VLOOKUP(C554,Data,2,FALSE),"Not in weight table")</f>
        <v>4.56</v>
      </c>
      <c r="K554" s="31">
        <f>+IFERROR(VLOOKUP(C554,Data,3,FALSE),"Not in weight table")</f>
        <v>0.255</v>
      </c>
      <c r="L554" s="44">
        <f t="shared" si="65"/>
        <v>0.032376</v>
      </c>
      <c r="M554" s="42">
        <f t="shared" si="66"/>
        <v>1.8105</v>
      </c>
      <c r="N554" s="43" t="s">
        <v>158</v>
      </c>
      <c r="O554" s="43" t="s">
        <v>158</v>
      </c>
      <c r="P554" s="43" t="s">
        <v>158</v>
      </c>
    </row>
    <row r="555" s="11" customFormat="1" spans="1:16">
      <c r="A555" s="32" t="s">
        <v>281</v>
      </c>
      <c r="B555" s="28" t="s">
        <v>199</v>
      </c>
      <c r="C555" s="28" t="s">
        <v>200</v>
      </c>
      <c r="D555" s="33" t="str">
        <f>+IFERROR(VLOOKUP(C555,Data,4,FALSE),"Not in data")</f>
        <v>Not in data</v>
      </c>
      <c r="E555" s="34" t="s">
        <v>149</v>
      </c>
      <c r="F555" s="30">
        <v>1</v>
      </c>
      <c r="G555" s="30">
        <v>2</v>
      </c>
      <c r="H555" s="31">
        <v>3.9</v>
      </c>
      <c r="I555" s="40">
        <f t="shared" si="64"/>
        <v>7.8</v>
      </c>
      <c r="J555" s="31" t="str">
        <f>+IFERROR(VLOOKUP(C555,Data,2,FALSE),"Not in weight table")</f>
        <v>Not in weight table</v>
      </c>
      <c r="K555" s="31" t="str">
        <f>+IFERROR(VLOOKUP(C555,Data,3,FALSE),"Not in weight table")</f>
        <v>Not in weight table</v>
      </c>
      <c r="L555" s="44">
        <f t="shared" si="65"/>
        <v>0</v>
      </c>
      <c r="M555" s="42">
        <f t="shared" si="66"/>
        <v>0</v>
      </c>
      <c r="N555" s="43" t="s">
        <v>158</v>
      </c>
      <c r="O555" s="43" t="s">
        <v>158</v>
      </c>
      <c r="P555" s="43" t="s">
        <v>158</v>
      </c>
    </row>
    <row r="556" s="11" customFormat="1" spans="1:16">
      <c r="A556" s="32" t="s">
        <v>281</v>
      </c>
      <c r="B556" s="28" t="s">
        <v>214</v>
      </c>
      <c r="C556" s="28" t="s">
        <v>189</v>
      </c>
      <c r="D556" s="33" t="str">
        <f>+IFERROR(VLOOKUP(C556,Data,4,FALSE),"Not in data")</f>
        <v>S</v>
      </c>
      <c r="E556" s="34" t="s">
        <v>149</v>
      </c>
      <c r="F556" s="30">
        <v>1</v>
      </c>
      <c r="G556" s="30">
        <v>2</v>
      </c>
      <c r="H556" s="31">
        <v>8.4</v>
      </c>
      <c r="I556" s="40">
        <f t="shared" si="64"/>
        <v>16.8</v>
      </c>
      <c r="J556" s="31">
        <f>+IFERROR(VLOOKUP(C556,Data,2,FALSE),"Not in weight table")</f>
        <v>22.9</v>
      </c>
      <c r="K556" s="31">
        <f>+IFERROR(VLOOKUP(C556,Data,3,FALSE),"Not in weight table")</f>
        <v>0.668</v>
      </c>
      <c r="L556" s="44">
        <f t="shared" si="65"/>
        <v>0.38472</v>
      </c>
      <c r="M556" s="42">
        <f t="shared" si="66"/>
        <v>11.2224</v>
      </c>
      <c r="N556" s="43" t="s">
        <v>158</v>
      </c>
      <c r="O556" s="43" t="s">
        <v>158</v>
      </c>
      <c r="P556" s="43" t="s">
        <v>158</v>
      </c>
    </row>
    <row r="557" s="11" customFormat="1" spans="1:16">
      <c r="A557" s="32" t="s">
        <v>281</v>
      </c>
      <c r="B557" s="28" t="s">
        <v>214</v>
      </c>
      <c r="C557" s="28" t="s">
        <v>189</v>
      </c>
      <c r="D557" s="33" t="str">
        <f>+IFERROR(VLOOKUP(C557,Data,4,FALSE),"Not in data")</f>
        <v>S</v>
      </c>
      <c r="E557" s="34" t="s">
        <v>149</v>
      </c>
      <c r="F557" s="30">
        <v>1</v>
      </c>
      <c r="G557" s="30">
        <v>2</v>
      </c>
      <c r="H557" s="31">
        <v>8.1</v>
      </c>
      <c r="I557" s="40">
        <f t="shared" si="64"/>
        <v>16.2</v>
      </c>
      <c r="J557" s="31">
        <f>+IFERROR(VLOOKUP(C557,Data,2,FALSE),"Not in weight table")</f>
        <v>22.9</v>
      </c>
      <c r="K557" s="31">
        <f>+IFERROR(VLOOKUP(C557,Data,3,FALSE),"Not in weight table")</f>
        <v>0.668</v>
      </c>
      <c r="L557" s="44">
        <f t="shared" si="65"/>
        <v>0.37098</v>
      </c>
      <c r="M557" s="42">
        <f t="shared" si="66"/>
        <v>10.8216</v>
      </c>
      <c r="N557" s="43" t="s">
        <v>158</v>
      </c>
      <c r="O557" s="43" t="s">
        <v>158</v>
      </c>
      <c r="P557" s="43" t="s">
        <v>158</v>
      </c>
    </row>
    <row r="558" s="11" customFormat="1" spans="1:16">
      <c r="A558" s="32" t="s">
        <v>281</v>
      </c>
      <c r="B558" s="28" t="s">
        <v>208</v>
      </c>
      <c r="C558" s="28" t="s">
        <v>235</v>
      </c>
      <c r="D558" s="33" t="str">
        <f>+IFERROR(VLOOKUP(C558,Data,4,FALSE),"Not in data")</f>
        <v>S</v>
      </c>
      <c r="E558" s="34" t="s">
        <v>149</v>
      </c>
      <c r="F558" s="30">
        <v>1</v>
      </c>
      <c r="G558" s="30">
        <v>2</v>
      </c>
      <c r="H558" s="31">
        <v>2.8</v>
      </c>
      <c r="I558" s="40">
        <f t="shared" si="64"/>
        <v>5.6</v>
      </c>
      <c r="J558" s="31">
        <f>+IFERROR(VLOOKUP(C558,Data,2,FALSE),"Not in weight table")</f>
        <v>25.7</v>
      </c>
      <c r="K558" s="31">
        <f>+IFERROR(VLOOKUP(C558,Data,3,FALSE),"Not in weight table")</f>
        <v>0.961</v>
      </c>
      <c r="L558" s="44">
        <f t="shared" si="65"/>
        <v>0.14392</v>
      </c>
      <c r="M558" s="42">
        <f t="shared" si="66"/>
        <v>5.3816</v>
      </c>
      <c r="N558" s="43" t="s">
        <v>158</v>
      </c>
      <c r="O558" s="43" t="s">
        <v>158</v>
      </c>
      <c r="P558" s="43" t="s">
        <v>158</v>
      </c>
    </row>
    <row r="559" s="11" customFormat="1" spans="1:16">
      <c r="A559" s="32" t="s">
        <v>281</v>
      </c>
      <c r="B559" s="28" t="s">
        <v>215</v>
      </c>
      <c r="C559" s="28" t="s">
        <v>211</v>
      </c>
      <c r="D559" s="33" t="str">
        <f>+IFERROR(VLOOKUP(C559,Data,4,FALSE),"Not in data")</f>
        <v>S</v>
      </c>
      <c r="E559" s="34" t="s">
        <v>149</v>
      </c>
      <c r="F559" s="30">
        <v>1</v>
      </c>
      <c r="G559" s="30">
        <v>2</v>
      </c>
      <c r="H559" s="31">
        <v>6.7</v>
      </c>
      <c r="I559" s="40">
        <f t="shared" si="64"/>
        <v>13.4</v>
      </c>
      <c r="J559" s="31">
        <f>+IFERROR(VLOOKUP(C559,Data,2,FALSE),"Not in weight table")</f>
        <v>14.3</v>
      </c>
      <c r="K559" s="31">
        <f>+IFERROR(VLOOKUP(C559,Data,3,FALSE),"Not in weight table")</f>
        <v>0.471</v>
      </c>
      <c r="L559" s="44">
        <f t="shared" si="65"/>
        <v>0.19162</v>
      </c>
      <c r="M559" s="42">
        <f t="shared" si="66"/>
        <v>6.3114</v>
      </c>
      <c r="N559" s="43" t="s">
        <v>158</v>
      </c>
      <c r="O559" s="43" t="s">
        <v>158</v>
      </c>
      <c r="P559" s="43" t="s">
        <v>158</v>
      </c>
    </row>
    <row r="560" s="11" customFormat="1" spans="1:16">
      <c r="A560" s="32" t="s">
        <v>281</v>
      </c>
      <c r="B560" s="28" t="s">
        <v>215</v>
      </c>
      <c r="C560" s="28" t="s">
        <v>211</v>
      </c>
      <c r="D560" s="33" t="str">
        <f>+IFERROR(VLOOKUP(C560,Data,4,FALSE),"Not in data")</f>
        <v>S</v>
      </c>
      <c r="E560" s="34" t="s">
        <v>149</v>
      </c>
      <c r="F560" s="30">
        <v>1</v>
      </c>
      <c r="G560" s="30">
        <v>2</v>
      </c>
      <c r="H560" s="31">
        <v>7</v>
      </c>
      <c r="I560" s="40">
        <f t="shared" si="64"/>
        <v>14</v>
      </c>
      <c r="J560" s="31">
        <f>+IFERROR(VLOOKUP(C560,Data,2,FALSE),"Not in weight table")</f>
        <v>14.3</v>
      </c>
      <c r="K560" s="31">
        <f>+IFERROR(VLOOKUP(C560,Data,3,FALSE),"Not in weight table")</f>
        <v>0.471</v>
      </c>
      <c r="L560" s="44">
        <f t="shared" si="65"/>
        <v>0.2002</v>
      </c>
      <c r="M560" s="42">
        <f t="shared" si="66"/>
        <v>6.594</v>
      </c>
      <c r="N560" s="43" t="s">
        <v>158</v>
      </c>
      <c r="O560" s="43" t="s">
        <v>158</v>
      </c>
      <c r="P560" s="43" t="s">
        <v>158</v>
      </c>
    </row>
    <row r="561" s="11" customFormat="1" spans="1:16">
      <c r="A561" s="32" t="s">
        <v>281</v>
      </c>
      <c r="B561" s="28" t="s">
        <v>196</v>
      </c>
      <c r="C561" s="28" t="s">
        <v>189</v>
      </c>
      <c r="D561" s="33" t="s">
        <v>136</v>
      </c>
      <c r="E561" s="34" t="s">
        <v>149</v>
      </c>
      <c r="F561" s="30">
        <v>1</v>
      </c>
      <c r="G561" s="30">
        <v>1</v>
      </c>
      <c r="H561" s="31">
        <v>4.4</v>
      </c>
      <c r="I561" s="40">
        <v>16.8</v>
      </c>
      <c r="J561" s="31" t="s">
        <v>283</v>
      </c>
      <c r="K561" s="31" t="s">
        <v>283</v>
      </c>
      <c r="L561" s="44">
        <v>0</v>
      </c>
      <c r="M561" s="42">
        <v>0</v>
      </c>
      <c r="N561" s="43" t="s">
        <v>158</v>
      </c>
      <c r="O561" s="43" t="s">
        <v>158</v>
      </c>
      <c r="P561" s="43" t="s">
        <v>158</v>
      </c>
    </row>
    <row r="562" s="11" customFormat="1" spans="1:16">
      <c r="A562" s="32" t="s">
        <v>281</v>
      </c>
      <c r="B562" s="28" t="s">
        <v>196</v>
      </c>
      <c r="C562" s="28" t="s">
        <v>189</v>
      </c>
      <c r="D562" s="33" t="s">
        <v>136</v>
      </c>
      <c r="E562" s="34" t="s">
        <v>149</v>
      </c>
      <c r="F562" s="30">
        <v>1</v>
      </c>
      <c r="G562" s="30">
        <v>1</v>
      </c>
      <c r="H562" s="31">
        <v>2.7</v>
      </c>
      <c r="I562" s="40">
        <v>16.8</v>
      </c>
      <c r="J562" s="31" t="s">
        <v>283</v>
      </c>
      <c r="K562" s="31" t="s">
        <v>283</v>
      </c>
      <c r="L562" s="44">
        <v>0</v>
      </c>
      <c r="M562" s="42">
        <v>0</v>
      </c>
      <c r="N562" s="43" t="s">
        <v>158</v>
      </c>
      <c r="O562" s="43" t="s">
        <v>158</v>
      </c>
      <c r="P562" s="43" t="s">
        <v>158</v>
      </c>
    </row>
    <row r="563" s="11" customFormat="1" spans="1:16">
      <c r="A563" s="32" t="s">
        <v>281</v>
      </c>
      <c r="B563" s="28" t="s">
        <v>206</v>
      </c>
      <c r="C563" s="28" t="s">
        <v>207</v>
      </c>
      <c r="D563" s="33" t="str">
        <f>+IFERROR(VLOOKUP(C563,Data,4,FALSE),"Not in data")</f>
        <v>S</v>
      </c>
      <c r="E563" s="34" t="s">
        <v>149</v>
      </c>
      <c r="F563" s="30">
        <v>1</v>
      </c>
      <c r="G563" s="30">
        <v>1</v>
      </c>
      <c r="H563" s="31">
        <v>6.5</v>
      </c>
      <c r="I563" s="40">
        <f t="shared" ref="I563:I565" si="67">+IF(F563&lt;&gt;"",F563*G563*H563,0)</f>
        <v>6.5</v>
      </c>
      <c r="J563" s="31">
        <f>+IFERROR(VLOOKUP(C563,Data,2,FALSE),"Not in weight table")</f>
        <v>4.56</v>
      </c>
      <c r="K563" s="31">
        <f>+IFERROR(VLOOKUP(C563,Data,3,FALSE),"Not in weight table")</f>
        <v>0.255</v>
      </c>
      <c r="L563" s="44">
        <f t="shared" ref="L563:L565" si="68">+IF(ISNUMBER(J563),I563*J563/1000,0)</f>
        <v>0.02964</v>
      </c>
      <c r="M563" s="42">
        <f t="shared" ref="M563:M565" si="69">+IF(ISNUMBER(K563),I563*K563,0)</f>
        <v>1.6575</v>
      </c>
      <c r="N563" s="43" t="s">
        <v>158</v>
      </c>
      <c r="O563" s="43" t="s">
        <v>158</v>
      </c>
      <c r="P563" s="43" t="s">
        <v>158</v>
      </c>
    </row>
    <row r="564" s="11" customFormat="1" spans="1:16">
      <c r="A564" s="32" t="s">
        <v>281</v>
      </c>
      <c r="B564" s="28" t="s">
        <v>206</v>
      </c>
      <c r="C564" s="28" t="s">
        <v>207</v>
      </c>
      <c r="D564" s="33" t="str">
        <f>+IFERROR(VLOOKUP(C564,Data,4,FALSE),"Not in data")</f>
        <v>S</v>
      </c>
      <c r="E564" s="34" t="s">
        <v>149</v>
      </c>
      <c r="F564" s="30">
        <v>1</v>
      </c>
      <c r="G564" s="30">
        <v>1</v>
      </c>
      <c r="H564" s="31">
        <v>6.6</v>
      </c>
      <c r="I564" s="40">
        <f t="shared" si="67"/>
        <v>6.6</v>
      </c>
      <c r="J564" s="31">
        <f>+IFERROR(VLOOKUP(C564,Data,2,FALSE),"Not in weight table")</f>
        <v>4.56</v>
      </c>
      <c r="K564" s="31">
        <f>+IFERROR(VLOOKUP(C564,Data,3,FALSE),"Not in weight table")</f>
        <v>0.255</v>
      </c>
      <c r="L564" s="44">
        <f t="shared" si="68"/>
        <v>0.030096</v>
      </c>
      <c r="M564" s="42">
        <f t="shared" si="69"/>
        <v>1.683</v>
      </c>
      <c r="N564" s="43" t="s">
        <v>158</v>
      </c>
      <c r="O564" s="43" t="s">
        <v>158</v>
      </c>
      <c r="P564" s="43" t="s">
        <v>158</v>
      </c>
    </row>
    <row r="565" s="11" customFormat="1" spans="1:16">
      <c r="A565" s="32" t="s">
        <v>281</v>
      </c>
      <c r="B565" s="28" t="s">
        <v>199</v>
      </c>
      <c r="C565" s="28" t="s">
        <v>200</v>
      </c>
      <c r="D565" s="33" t="str">
        <f>+IFERROR(VLOOKUP(C565,Data,4,FALSE),"Not in data")</f>
        <v>Not in data</v>
      </c>
      <c r="E565" s="34" t="s">
        <v>149</v>
      </c>
      <c r="F565" s="30">
        <v>1</v>
      </c>
      <c r="G565" s="30">
        <v>1</v>
      </c>
      <c r="H565" s="31">
        <v>3.3</v>
      </c>
      <c r="I565" s="40">
        <f t="shared" si="67"/>
        <v>3.3</v>
      </c>
      <c r="J565" s="31" t="str">
        <f>+IFERROR(VLOOKUP(C565,Data,2,FALSE),"Not in weight table")</f>
        <v>Not in weight table</v>
      </c>
      <c r="K565" s="31" t="str">
        <f>+IFERROR(VLOOKUP(C565,Data,3,FALSE),"Not in weight table")</f>
        <v>Not in weight table</v>
      </c>
      <c r="L565" s="44">
        <f t="shared" si="68"/>
        <v>0</v>
      </c>
      <c r="M565" s="42">
        <f t="shared" si="69"/>
        <v>0</v>
      </c>
      <c r="N565" s="43" t="s">
        <v>158</v>
      </c>
      <c r="O565" s="43" t="s">
        <v>158</v>
      </c>
      <c r="P565" s="43" t="s">
        <v>158</v>
      </c>
    </row>
    <row r="566" s="11" customFormat="1" spans="1:16">
      <c r="A566" s="32" t="s">
        <v>281</v>
      </c>
      <c r="B566" s="28" t="s">
        <v>196</v>
      </c>
      <c r="C566" s="28" t="s">
        <v>189</v>
      </c>
      <c r="D566" s="33" t="s">
        <v>136</v>
      </c>
      <c r="E566" s="34" t="s">
        <v>149</v>
      </c>
      <c r="F566" s="30">
        <v>1</v>
      </c>
      <c r="G566" s="30">
        <v>2</v>
      </c>
      <c r="H566" s="31">
        <v>3.9</v>
      </c>
      <c r="I566" s="40">
        <v>16.8</v>
      </c>
      <c r="J566" s="31" t="s">
        <v>283</v>
      </c>
      <c r="K566" s="31" t="s">
        <v>283</v>
      </c>
      <c r="L566" s="44">
        <v>0</v>
      </c>
      <c r="M566" s="42">
        <v>0</v>
      </c>
      <c r="N566" s="43" t="s">
        <v>158</v>
      </c>
      <c r="O566" s="43" t="s">
        <v>158</v>
      </c>
      <c r="P566" s="43" t="s">
        <v>158</v>
      </c>
    </row>
    <row r="567" s="11" customFormat="1" spans="1:16">
      <c r="A567" s="32" t="s">
        <v>281</v>
      </c>
      <c r="B567" s="28" t="s">
        <v>206</v>
      </c>
      <c r="C567" s="28" t="s">
        <v>207</v>
      </c>
      <c r="D567" s="33" t="str">
        <f>+IFERROR(VLOOKUP(C567,Data,4,FALSE),"Not in data")</f>
        <v>S</v>
      </c>
      <c r="E567" s="34" t="s">
        <v>149</v>
      </c>
      <c r="F567" s="30">
        <v>1</v>
      </c>
      <c r="G567" s="30">
        <v>2</v>
      </c>
      <c r="H567" s="31">
        <v>7.1</v>
      </c>
      <c r="I567" s="40">
        <f t="shared" ref="I567:I571" si="70">+IF(F567&lt;&gt;"",F567*G567*H567,0)</f>
        <v>14.2</v>
      </c>
      <c r="J567" s="31">
        <f>+IFERROR(VLOOKUP(C567,Data,2,FALSE),"Not in weight table")</f>
        <v>4.56</v>
      </c>
      <c r="K567" s="31">
        <f>+IFERROR(VLOOKUP(C567,Data,3,FALSE),"Not in weight table")</f>
        <v>0.255</v>
      </c>
      <c r="L567" s="44">
        <f t="shared" ref="L567:L571" si="71">+IF(ISNUMBER(J567),I567*J567/1000,0)</f>
        <v>0.064752</v>
      </c>
      <c r="M567" s="42">
        <f t="shared" ref="M567:M571" si="72">+IF(ISNUMBER(K567),I567*K567,0)</f>
        <v>3.621</v>
      </c>
      <c r="N567" s="43" t="s">
        <v>158</v>
      </c>
      <c r="O567" s="43" t="s">
        <v>158</v>
      </c>
      <c r="P567" s="43" t="s">
        <v>158</v>
      </c>
    </row>
    <row r="568" s="11" customFormat="1" spans="1:16">
      <c r="A568" s="32" t="s">
        <v>281</v>
      </c>
      <c r="B568" s="28" t="s">
        <v>199</v>
      </c>
      <c r="C568" s="28" t="s">
        <v>200</v>
      </c>
      <c r="D568" s="33" t="str">
        <f>+IFERROR(VLOOKUP(C568,Data,4,FALSE),"Not in data")</f>
        <v>Not in data</v>
      </c>
      <c r="E568" s="34" t="s">
        <v>149</v>
      </c>
      <c r="F568" s="30">
        <v>1</v>
      </c>
      <c r="G568" s="30">
        <v>2</v>
      </c>
      <c r="H568" s="31">
        <v>3.9</v>
      </c>
      <c r="I568" s="40">
        <f t="shared" si="70"/>
        <v>7.8</v>
      </c>
      <c r="J568" s="31" t="str">
        <f>+IFERROR(VLOOKUP(C568,Data,2,FALSE),"Not in weight table")</f>
        <v>Not in weight table</v>
      </c>
      <c r="K568" s="31" t="str">
        <f>+IFERROR(VLOOKUP(C568,Data,3,FALSE),"Not in weight table")</f>
        <v>Not in weight table</v>
      </c>
      <c r="L568" s="44">
        <f t="shared" si="71"/>
        <v>0</v>
      </c>
      <c r="M568" s="42">
        <f t="shared" si="72"/>
        <v>0</v>
      </c>
      <c r="N568" s="43" t="s">
        <v>158</v>
      </c>
      <c r="O568" s="43" t="s">
        <v>158</v>
      </c>
      <c r="P568" s="43" t="s">
        <v>158</v>
      </c>
    </row>
    <row r="569" s="11" customFormat="1" spans="1:16">
      <c r="A569" s="32" t="s">
        <v>281</v>
      </c>
      <c r="B569" s="28" t="s">
        <v>184</v>
      </c>
      <c r="C569" s="28" t="s">
        <v>185</v>
      </c>
      <c r="D569" s="33" t="str">
        <f>+IFERROR(VLOOKUP(C569,Data,4,FALSE),"Not in data")</f>
        <v>Not in data</v>
      </c>
      <c r="E569" s="34" t="s">
        <v>149</v>
      </c>
      <c r="F569" s="30">
        <v>1</v>
      </c>
      <c r="G569" s="30">
        <v>4</v>
      </c>
      <c r="H569" s="31">
        <v>4.6</v>
      </c>
      <c r="I569" s="40">
        <f t="shared" si="70"/>
        <v>18.4</v>
      </c>
      <c r="J569" s="31" t="str">
        <f>+IFERROR(VLOOKUP(C569,Data,2,FALSE),"Not in weight table")</f>
        <v>Not in weight table</v>
      </c>
      <c r="K569" s="31" t="str">
        <f>+IFERROR(VLOOKUP(C569,Data,3,FALSE),"Not in weight table")</f>
        <v>Not in weight table</v>
      </c>
      <c r="L569" s="44">
        <f t="shared" si="71"/>
        <v>0</v>
      </c>
      <c r="M569" s="42">
        <f t="shared" si="72"/>
        <v>0</v>
      </c>
      <c r="N569" s="43" t="s">
        <v>158</v>
      </c>
      <c r="O569" s="43" t="s">
        <v>158</v>
      </c>
      <c r="P569" s="43" t="s">
        <v>158</v>
      </c>
    </row>
    <row r="570" s="11" customFormat="1" spans="1:16">
      <c r="A570" s="32" t="s">
        <v>281</v>
      </c>
      <c r="B570" s="28" t="s">
        <v>188</v>
      </c>
      <c r="C570" s="28" t="s">
        <v>189</v>
      </c>
      <c r="D570" s="33" t="str">
        <f>+IFERROR(VLOOKUP(C570,Data,4,FALSE),"Not in data")</f>
        <v>S</v>
      </c>
      <c r="E570" s="34" t="s">
        <v>149</v>
      </c>
      <c r="F570" s="30">
        <v>1</v>
      </c>
      <c r="G570" s="30">
        <v>4</v>
      </c>
      <c r="H570" s="31">
        <v>3.1</v>
      </c>
      <c r="I570" s="40">
        <f t="shared" si="70"/>
        <v>12.4</v>
      </c>
      <c r="J570" s="31">
        <f>+IFERROR(VLOOKUP(C570,Data,2,FALSE),"Not in weight table")</f>
        <v>22.9</v>
      </c>
      <c r="K570" s="31">
        <f>+IFERROR(VLOOKUP(C570,Data,3,FALSE),"Not in weight table")</f>
        <v>0.668</v>
      </c>
      <c r="L570" s="44">
        <f t="shared" si="71"/>
        <v>0.28396</v>
      </c>
      <c r="M570" s="42">
        <f t="shared" si="72"/>
        <v>8.2832</v>
      </c>
      <c r="N570" s="43" t="s">
        <v>158</v>
      </c>
      <c r="O570" s="43" t="s">
        <v>158</v>
      </c>
      <c r="P570" s="43" t="s">
        <v>158</v>
      </c>
    </row>
    <row r="571" s="11" customFormat="1" spans="1:16">
      <c r="A571" s="32" t="s">
        <v>281</v>
      </c>
      <c r="B571" s="28" t="s">
        <v>208</v>
      </c>
      <c r="C571" s="28" t="s">
        <v>235</v>
      </c>
      <c r="D571" s="33" t="str">
        <f>+IFERROR(VLOOKUP(C571,Data,4,FALSE),"Not in data")</f>
        <v>S</v>
      </c>
      <c r="E571" s="34" t="s">
        <v>149</v>
      </c>
      <c r="F571" s="30">
        <v>1</v>
      </c>
      <c r="G571" s="30">
        <v>2</v>
      </c>
      <c r="H571" s="31">
        <v>16.7</v>
      </c>
      <c r="I571" s="40">
        <f t="shared" si="70"/>
        <v>33.4</v>
      </c>
      <c r="J571" s="31">
        <f>+IFERROR(VLOOKUP(C571,Data,2,FALSE),"Not in weight table")</f>
        <v>25.7</v>
      </c>
      <c r="K571" s="31">
        <f>+IFERROR(VLOOKUP(C571,Data,3,FALSE),"Not in weight table")</f>
        <v>0.961</v>
      </c>
      <c r="L571" s="44">
        <f t="shared" si="71"/>
        <v>0.85838</v>
      </c>
      <c r="M571" s="42">
        <f t="shared" si="72"/>
        <v>32.0974</v>
      </c>
      <c r="N571" s="43" t="s">
        <v>158</v>
      </c>
      <c r="O571" s="43" t="s">
        <v>158</v>
      </c>
      <c r="P571" s="43" t="s">
        <v>158</v>
      </c>
    </row>
    <row r="572" s="11" customFormat="1" spans="1:16">
      <c r="A572" s="32" t="s">
        <v>281</v>
      </c>
      <c r="B572" s="28" t="s">
        <v>196</v>
      </c>
      <c r="C572" s="28" t="s">
        <v>189</v>
      </c>
      <c r="D572" s="33" t="s">
        <v>136</v>
      </c>
      <c r="E572" s="34" t="s">
        <v>149</v>
      </c>
      <c r="F572" s="30">
        <v>1</v>
      </c>
      <c r="G572" s="30">
        <v>2</v>
      </c>
      <c r="H572" s="31">
        <v>9.2</v>
      </c>
      <c r="I572" s="40">
        <v>16.8</v>
      </c>
      <c r="J572" s="31" t="s">
        <v>283</v>
      </c>
      <c r="K572" s="31" t="s">
        <v>283</v>
      </c>
      <c r="L572" s="44">
        <v>0</v>
      </c>
      <c r="M572" s="42">
        <v>0</v>
      </c>
      <c r="N572" s="43" t="s">
        <v>158</v>
      </c>
      <c r="O572" s="43" t="s">
        <v>158</v>
      </c>
      <c r="P572" s="43" t="s">
        <v>158</v>
      </c>
    </row>
    <row r="573" s="11" customFormat="1" spans="1:16">
      <c r="A573" s="32" t="s">
        <v>281</v>
      </c>
      <c r="B573" s="28" t="s">
        <v>206</v>
      </c>
      <c r="C573" s="28" t="s">
        <v>207</v>
      </c>
      <c r="D573" s="33" t="str">
        <f>+IFERROR(VLOOKUP(C573,Data,4,FALSE),"Not in data")</f>
        <v>S</v>
      </c>
      <c r="E573" s="34" t="s">
        <v>149</v>
      </c>
      <c r="F573" s="30">
        <v>1</v>
      </c>
      <c r="G573" s="30">
        <v>4</v>
      </c>
      <c r="H573" s="31">
        <v>9.6</v>
      </c>
      <c r="I573" s="40">
        <f t="shared" ref="I573:I580" si="73">+IF(F573&lt;&gt;"",F573*G573*H573,0)</f>
        <v>38.4</v>
      </c>
      <c r="J573" s="31">
        <f>+IFERROR(VLOOKUP(C573,Data,2,FALSE),"Not in weight table")</f>
        <v>4.56</v>
      </c>
      <c r="K573" s="31">
        <f>+IFERROR(VLOOKUP(C573,Data,3,FALSE),"Not in weight table")</f>
        <v>0.255</v>
      </c>
      <c r="L573" s="44">
        <f t="shared" ref="L573:L580" si="74">+IF(ISNUMBER(J573),I573*J573/1000,0)</f>
        <v>0.175104</v>
      </c>
      <c r="M573" s="42">
        <f t="shared" ref="M573:M580" si="75">+IF(ISNUMBER(K573),I573*K573,0)</f>
        <v>9.792</v>
      </c>
      <c r="N573" s="43" t="s">
        <v>158</v>
      </c>
      <c r="O573" s="43" t="s">
        <v>158</v>
      </c>
      <c r="P573" s="43" t="s">
        <v>158</v>
      </c>
    </row>
    <row r="574" s="11" customFormat="1" spans="1:16">
      <c r="A574" s="32" t="s">
        <v>281</v>
      </c>
      <c r="B574" s="28" t="s">
        <v>206</v>
      </c>
      <c r="C574" s="28" t="s">
        <v>207</v>
      </c>
      <c r="D574" s="33" t="str">
        <f>+IFERROR(VLOOKUP(C574,Data,4,FALSE),"Not in data")</f>
        <v>S</v>
      </c>
      <c r="E574" s="34" t="s">
        <v>149</v>
      </c>
      <c r="F574" s="30">
        <v>1</v>
      </c>
      <c r="G574" s="30">
        <v>2</v>
      </c>
      <c r="H574" s="31">
        <v>8.2</v>
      </c>
      <c r="I574" s="40">
        <f t="shared" si="73"/>
        <v>16.4</v>
      </c>
      <c r="J574" s="31">
        <f>+IFERROR(VLOOKUP(C574,Data,2,FALSE),"Not in weight table")</f>
        <v>4.56</v>
      </c>
      <c r="K574" s="31">
        <f>+IFERROR(VLOOKUP(C574,Data,3,FALSE),"Not in weight table")</f>
        <v>0.255</v>
      </c>
      <c r="L574" s="44">
        <f t="shared" si="74"/>
        <v>0.074784</v>
      </c>
      <c r="M574" s="42">
        <f t="shared" si="75"/>
        <v>4.182</v>
      </c>
      <c r="N574" s="43" t="s">
        <v>158</v>
      </c>
      <c r="O574" s="43" t="s">
        <v>158</v>
      </c>
      <c r="P574" s="43" t="s">
        <v>158</v>
      </c>
    </row>
    <row r="575" s="11" customFormat="1" spans="1:16">
      <c r="A575" s="32" t="s">
        <v>281</v>
      </c>
      <c r="B575" s="28" t="s">
        <v>201</v>
      </c>
      <c r="C575" s="28" t="s">
        <v>202</v>
      </c>
      <c r="D575" s="33" t="str">
        <f>+IFERROR(VLOOKUP(C575,Data,4,FALSE),"Not in data")</f>
        <v>T</v>
      </c>
      <c r="E575" s="34" t="s">
        <v>149</v>
      </c>
      <c r="F575" s="30">
        <v>1</v>
      </c>
      <c r="G575" s="30">
        <v>2</v>
      </c>
      <c r="H575" s="31">
        <v>7.5</v>
      </c>
      <c r="I575" s="40">
        <f t="shared" si="73"/>
        <v>15</v>
      </c>
      <c r="J575" s="31">
        <f>+IFERROR(VLOOKUP(C575,Data,2,FALSE),"Not in weight table")</f>
        <v>19.4</v>
      </c>
      <c r="K575" s="31">
        <f>+IFERROR(VLOOKUP(C575,Data,3,FALSE),"Not in weight table")</f>
        <v>0.529</v>
      </c>
      <c r="L575" s="44">
        <f t="shared" si="74"/>
        <v>0.291</v>
      </c>
      <c r="M575" s="42">
        <f t="shared" si="75"/>
        <v>7.935</v>
      </c>
      <c r="N575" s="43" t="s">
        <v>158</v>
      </c>
      <c r="O575" s="43" t="s">
        <v>158</v>
      </c>
      <c r="P575" s="43" t="s">
        <v>158</v>
      </c>
    </row>
    <row r="576" s="11" customFormat="1" spans="1:16">
      <c r="A576" s="32" t="s">
        <v>281</v>
      </c>
      <c r="B576" s="28" t="s">
        <v>246</v>
      </c>
      <c r="C576" s="28" t="s">
        <v>247</v>
      </c>
      <c r="D576" s="33" t="str">
        <f>+IFERROR(VLOOKUP(C576,Data,4,FALSE),"Not in data")</f>
        <v>Not in data</v>
      </c>
      <c r="E576" s="34" t="s">
        <v>149</v>
      </c>
      <c r="F576" s="30">
        <v>1</v>
      </c>
      <c r="G576" s="30">
        <v>3</v>
      </c>
      <c r="H576" s="31">
        <v>1.9</v>
      </c>
      <c r="I576" s="40">
        <f t="shared" si="73"/>
        <v>5.7</v>
      </c>
      <c r="J576" s="31" t="str">
        <f>+IFERROR(VLOOKUP(C576,Data,2,FALSE),"Not in weight table")</f>
        <v>Not in weight table</v>
      </c>
      <c r="K576" s="31" t="str">
        <f>+IFERROR(VLOOKUP(C576,Data,3,FALSE),"Not in weight table")</f>
        <v>Not in weight table</v>
      </c>
      <c r="L576" s="44">
        <f t="shared" si="74"/>
        <v>0</v>
      </c>
      <c r="M576" s="42">
        <f t="shared" si="75"/>
        <v>0</v>
      </c>
      <c r="N576" s="43" t="s">
        <v>158</v>
      </c>
      <c r="O576" s="43" t="s">
        <v>158</v>
      </c>
      <c r="P576" s="43" t="s">
        <v>158</v>
      </c>
    </row>
    <row r="577" s="11" customFormat="1" spans="1:16">
      <c r="A577" s="32" t="s">
        <v>281</v>
      </c>
      <c r="B577" s="28" t="s">
        <v>205</v>
      </c>
      <c r="C577" s="28" t="s">
        <v>189</v>
      </c>
      <c r="D577" s="33" t="str">
        <f>+IFERROR(VLOOKUP(C577,Data,4,FALSE),"Not in data")</f>
        <v>S</v>
      </c>
      <c r="E577" s="34" t="s">
        <v>149</v>
      </c>
      <c r="F577" s="30">
        <v>1</v>
      </c>
      <c r="G577" s="30">
        <v>1</v>
      </c>
      <c r="H577" s="31">
        <v>1.9</v>
      </c>
      <c r="I577" s="40">
        <f t="shared" si="73"/>
        <v>1.9</v>
      </c>
      <c r="J577" s="31">
        <f>+IFERROR(VLOOKUP(C577,Data,2,FALSE),"Not in weight table")</f>
        <v>22.9</v>
      </c>
      <c r="K577" s="31">
        <f>+IFERROR(VLOOKUP(C577,Data,3,FALSE),"Not in weight table")</f>
        <v>0.668</v>
      </c>
      <c r="L577" s="44">
        <f t="shared" si="74"/>
        <v>0.04351</v>
      </c>
      <c r="M577" s="42">
        <f t="shared" si="75"/>
        <v>1.2692</v>
      </c>
      <c r="N577" s="43" t="s">
        <v>158</v>
      </c>
      <c r="O577" s="43" t="s">
        <v>158</v>
      </c>
      <c r="P577" s="43" t="s">
        <v>158</v>
      </c>
    </row>
    <row r="578" s="11" customFormat="1" spans="1:16">
      <c r="A578" s="32" t="s">
        <v>281</v>
      </c>
      <c r="B578" s="28" t="s">
        <v>205</v>
      </c>
      <c r="C578" s="28" t="s">
        <v>189</v>
      </c>
      <c r="D578" s="33" t="str">
        <f>+IFERROR(VLOOKUP(C578,Data,4,FALSE),"Not in data")</f>
        <v>S</v>
      </c>
      <c r="E578" s="34" t="s">
        <v>149</v>
      </c>
      <c r="F578" s="30">
        <v>1</v>
      </c>
      <c r="G578" s="30">
        <v>1</v>
      </c>
      <c r="H578" s="31">
        <v>6.4</v>
      </c>
      <c r="I578" s="40">
        <f t="shared" si="73"/>
        <v>6.4</v>
      </c>
      <c r="J578" s="31">
        <f>+IFERROR(VLOOKUP(C578,Data,2,FALSE),"Not in weight table")</f>
        <v>22.9</v>
      </c>
      <c r="K578" s="31">
        <f>+IFERROR(VLOOKUP(C578,Data,3,FALSE),"Not in weight table")</f>
        <v>0.668</v>
      </c>
      <c r="L578" s="44">
        <f t="shared" si="74"/>
        <v>0.14656</v>
      </c>
      <c r="M578" s="42">
        <f t="shared" si="75"/>
        <v>4.2752</v>
      </c>
      <c r="N578" s="43" t="s">
        <v>158</v>
      </c>
      <c r="O578" s="43" t="s">
        <v>158</v>
      </c>
      <c r="P578" s="43" t="s">
        <v>158</v>
      </c>
    </row>
    <row r="579" s="11" customFormat="1" spans="1:16">
      <c r="A579" s="32" t="s">
        <v>281</v>
      </c>
      <c r="B579" s="28" t="s">
        <v>205</v>
      </c>
      <c r="C579" s="28" t="s">
        <v>189</v>
      </c>
      <c r="D579" s="33" t="str">
        <f>+IFERROR(VLOOKUP(C579,Data,4,FALSE),"Not in data")</f>
        <v>S</v>
      </c>
      <c r="E579" s="34" t="s">
        <v>149</v>
      </c>
      <c r="F579" s="30">
        <v>1</v>
      </c>
      <c r="G579" s="30">
        <v>1</v>
      </c>
      <c r="H579" s="31">
        <v>2.3</v>
      </c>
      <c r="I579" s="40">
        <f t="shared" si="73"/>
        <v>2.3</v>
      </c>
      <c r="J579" s="31">
        <f>+IFERROR(VLOOKUP(C579,Data,2,FALSE),"Not in weight table")</f>
        <v>22.9</v>
      </c>
      <c r="K579" s="31">
        <f>+IFERROR(VLOOKUP(C579,Data,3,FALSE),"Not in weight table")</f>
        <v>0.668</v>
      </c>
      <c r="L579" s="44">
        <f t="shared" si="74"/>
        <v>0.05267</v>
      </c>
      <c r="M579" s="42">
        <f t="shared" si="75"/>
        <v>1.5364</v>
      </c>
      <c r="N579" s="43" t="s">
        <v>158</v>
      </c>
      <c r="O579" s="43" t="s">
        <v>158</v>
      </c>
      <c r="P579" s="43" t="s">
        <v>158</v>
      </c>
    </row>
    <row r="580" s="11" customFormat="1" spans="1:16">
      <c r="A580" s="32" t="s">
        <v>281</v>
      </c>
      <c r="B580" s="28" t="s">
        <v>205</v>
      </c>
      <c r="C580" s="28" t="s">
        <v>189</v>
      </c>
      <c r="D580" s="33" t="str">
        <f>+IFERROR(VLOOKUP(C580,Data,4,FALSE),"Not in data")</f>
        <v>S</v>
      </c>
      <c r="E580" s="34" t="s">
        <v>149</v>
      </c>
      <c r="F580" s="30">
        <v>1</v>
      </c>
      <c r="G580" s="30">
        <v>1</v>
      </c>
      <c r="H580" s="31">
        <v>4.7</v>
      </c>
      <c r="I580" s="40">
        <f t="shared" si="73"/>
        <v>4.7</v>
      </c>
      <c r="J580" s="31">
        <f>+IFERROR(VLOOKUP(C580,Data,2,FALSE),"Not in weight table")</f>
        <v>22.9</v>
      </c>
      <c r="K580" s="31">
        <f>+IFERROR(VLOOKUP(C580,Data,3,FALSE),"Not in weight table")</f>
        <v>0.668</v>
      </c>
      <c r="L580" s="44">
        <f t="shared" si="74"/>
        <v>0.10763</v>
      </c>
      <c r="M580" s="42">
        <f t="shared" si="75"/>
        <v>3.1396</v>
      </c>
      <c r="N580" s="43" t="s">
        <v>158</v>
      </c>
      <c r="O580" s="43" t="s">
        <v>158</v>
      </c>
      <c r="P580" s="43" t="s">
        <v>158</v>
      </c>
    </row>
    <row r="581" s="11" customFormat="1" spans="1:16">
      <c r="A581" s="32" t="s">
        <v>281</v>
      </c>
      <c r="B581" s="28" t="s">
        <v>196</v>
      </c>
      <c r="C581" s="28" t="s">
        <v>189</v>
      </c>
      <c r="D581" s="33" t="s">
        <v>136</v>
      </c>
      <c r="E581" s="34" t="s">
        <v>149</v>
      </c>
      <c r="F581" s="30">
        <v>1</v>
      </c>
      <c r="G581" s="30">
        <v>1</v>
      </c>
      <c r="H581" s="31">
        <v>19.1</v>
      </c>
      <c r="I581" s="40">
        <v>16.8</v>
      </c>
      <c r="J581" s="31" t="s">
        <v>283</v>
      </c>
      <c r="K581" s="31" t="s">
        <v>283</v>
      </c>
      <c r="L581" s="44">
        <v>0</v>
      </c>
      <c r="M581" s="42">
        <v>0</v>
      </c>
      <c r="N581" s="43" t="s">
        <v>158</v>
      </c>
      <c r="O581" s="43" t="s">
        <v>158</v>
      </c>
      <c r="P581" s="43" t="s">
        <v>158</v>
      </c>
    </row>
    <row r="582" s="11" customFormat="1" spans="1:16">
      <c r="A582" s="32" t="s">
        <v>281</v>
      </c>
      <c r="B582" s="28" t="s">
        <v>248</v>
      </c>
      <c r="C582" s="28" t="s">
        <v>249</v>
      </c>
      <c r="D582" s="33" t="s">
        <v>136</v>
      </c>
      <c r="E582" s="34" t="s">
        <v>149</v>
      </c>
      <c r="F582" s="30">
        <v>1</v>
      </c>
      <c r="G582" s="30">
        <v>1</v>
      </c>
      <c r="H582" s="31">
        <v>6.4</v>
      </c>
      <c r="I582" s="40">
        <v>16.8</v>
      </c>
      <c r="J582" s="31" t="s">
        <v>283</v>
      </c>
      <c r="K582" s="31" t="s">
        <v>283</v>
      </c>
      <c r="L582" s="44">
        <v>0</v>
      </c>
      <c r="M582" s="42">
        <v>0</v>
      </c>
      <c r="N582" s="43" t="s">
        <v>158</v>
      </c>
      <c r="O582" s="43" t="s">
        <v>158</v>
      </c>
      <c r="P582" s="43" t="s">
        <v>158</v>
      </c>
    </row>
    <row r="583" s="11" customFormat="1" spans="1:16">
      <c r="A583" s="32" t="s">
        <v>281</v>
      </c>
      <c r="B583" s="28" t="s">
        <v>197</v>
      </c>
      <c r="C583" s="28" t="s">
        <v>198</v>
      </c>
      <c r="D583" s="33" t="s">
        <v>136</v>
      </c>
      <c r="E583" s="34" t="s">
        <v>149</v>
      </c>
      <c r="F583" s="30">
        <v>1</v>
      </c>
      <c r="G583" s="30">
        <v>12</v>
      </c>
      <c r="H583" s="31">
        <v>1.5</v>
      </c>
      <c r="I583" s="40">
        <v>16.8</v>
      </c>
      <c r="J583" s="31" t="s">
        <v>283</v>
      </c>
      <c r="K583" s="31" t="s">
        <v>283</v>
      </c>
      <c r="L583" s="44">
        <v>0</v>
      </c>
      <c r="M583" s="42">
        <v>0</v>
      </c>
      <c r="N583" s="43" t="s">
        <v>158</v>
      </c>
      <c r="O583" s="43" t="s">
        <v>158</v>
      </c>
      <c r="P583" s="43" t="s">
        <v>158</v>
      </c>
    </row>
    <row r="584" s="11" customFormat="1" spans="1:16">
      <c r="A584" s="32" t="s">
        <v>281</v>
      </c>
      <c r="B584" s="28" t="s">
        <v>221</v>
      </c>
      <c r="C584" s="28" t="s">
        <v>222</v>
      </c>
      <c r="D584" s="33" t="s">
        <v>136</v>
      </c>
      <c r="E584" s="34" t="s">
        <v>148</v>
      </c>
      <c r="F584" s="30">
        <v>1</v>
      </c>
      <c r="G584" s="30">
        <v>7</v>
      </c>
      <c r="H584" s="31">
        <v>1.8</v>
      </c>
      <c r="I584" s="40">
        <v>16.8</v>
      </c>
      <c r="J584" s="31" t="s">
        <v>283</v>
      </c>
      <c r="K584" s="31" t="s">
        <v>283</v>
      </c>
      <c r="L584" s="44">
        <v>0</v>
      </c>
      <c r="M584" s="42">
        <v>0</v>
      </c>
      <c r="N584" s="43" t="s">
        <v>158</v>
      </c>
      <c r="O584" s="43" t="s">
        <v>158</v>
      </c>
      <c r="P584" s="43" t="s">
        <v>158</v>
      </c>
    </row>
    <row r="585" s="11" customFormat="1" spans="1:16">
      <c r="A585" s="32" t="s">
        <v>281</v>
      </c>
      <c r="B585" s="28" t="s">
        <v>220</v>
      </c>
      <c r="C585" s="28" t="s">
        <v>219</v>
      </c>
      <c r="D585" s="33" t="s">
        <v>136</v>
      </c>
      <c r="E585" s="34" t="s">
        <v>148</v>
      </c>
      <c r="F585" s="30">
        <v>1</v>
      </c>
      <c r="G585" s="30">
        <v>15</v>
      </c>
      <c r="H585" s="31">
        <v>8.91</v>
      </c>
      <c r="I585" s="40">
        <v>16.8</v>
      </c>
      <c r="J585" s="31" t="s">
        <v>283</v>
      </c>
      <c r="K585" s="31" t="s">
        <v>283</v>
      </c>
      <c r="L585" s="44">
        <v>0</v>
      </c>
      <c r="M585" s="42">
        <v>0</v>
      </c>
      <c r="N585" s="43" t="s">
        <v>158</v>
      </c>
      <c r="O585" s="43" t="s">
        <v>158</v>
      </c>
      <c r="P585" s="43" t="s">
        <v>158</v>
      </c>
    </row>
    <row r="586" s="11" customFormat="1" spans="1:16">
      <c r="A586" s="32" t="s">
        <v>281</v>
      </c>
      <c r="B586" s="28" t="s">
        <v>220</v>
      </c>
      <c r="C586" s="28" t="s">
        <v>219</v>
      </c>
      <c r="D586" s="33" t="s">
        <v>136</v>
      </c>
      <c r="E586" s="34" t="s">
        <v>148</v>
      </c>
      <c r="F586" s="30">
        <v>1</v>
      </c>
      <c r="G586" s="30">
        <v>15</v>
      </c>
      <c r="H586" s="31">
        <v>8.1</v>
      </c>
      <c r="I586" s="40">
        <v>16.8</v>
      </c>
      <c r="J586" s="31" t="s">
        <v>283</v>
      </c>
      <c r="K586" s="31" t="s">
        <v>283</v>
      </c>
      <c r="L586" s="44">
        <v>0</v>
      </c>
      <c r="M586" s="42">
        <v>0</v>
      </c>
      <c r="N586" s="43" t="s">
        <v>158</v>
      </c>
      <c r="O586" s="43" t="s">
        <v>158</v>
      </c>
      <c r="P586" s="43" t="s">
        <v>158</v>
      </c>
    </row>
    <row r="587" s="11" customFormat="1" spans="1:16">
      <c r="A587" s="32" t="s">
        <v>281</v>
      </c>
      <c r="B587" s="28" t="s">
        <v>220</v>
      </c>
      <c r="C587" s="28" t="s">
        <v>219</v>
      </c>
      <c r="D587" s="33" t="s">
        <v>136</v>
      </c>
      <c r="E587" s="34" t="s">
        <v>148</v>
      </c>
      <c r="F587" s="30">
        <v>1</v>
      </c>
      <c r="G587" s="30">
        <v>15</v>
      </c>
      <c r="H587" s="31">
        <v>4.1</v>
      </c>
      <c r="I587" s="40">
        <v>16.8</v>
      </c>
      <c r="J587" s="31" t="s">
        <v>283</v>
      </c>
      <c r="K587" s="31" t="s">
        <v>283</v>
      </c>
      <c r="L587" s="44">
        <v>0</v>
      </c>
      <c r="M587" s="42">
        <v>0</v>
      </c>
      <c r="N587" s="43" t="s">
        <v>158</v>
      </c>
      <c r="O587" s="43" t="s">
        <v>158</v>
      </c>
      <c r="P587" s="43" t="s">
        <v>158</v>
      </c>
    </row>
    <row r="588" s="11" customFormat="1" spans="1:16">
      <c r="A588" s="32" t="s">
        <v>281</v>
      </c>
      <c r="B588" s="28" t="s">
        <v>220</v>
      </c>
      <c r="C588" s="28" t="s">
        <v>219</v>
      </c>
      <c r="D588" s="33" t="s">
        <v>136</v>
      </c>
      <c r="E588" s="34" t="s">
        <v>148</v>
      </c>
      <c r="F588" s="30">
        <v>1</v>
      </c>
      <c r="G588" s="30">
        <v>15</v>
      </c>
      <c r="H588" s="31">
        <v>4.4</v>
      </c>
      <c r="I588" s="40">
        <v>16.8</v>
      </c>
      <c r="J588" s="31" t="s">
        <v>283</v>
      </c>
      <c r="K588" s="31" t="s">
        <v>283</v>
      </c>
      <c r="L588" s="44">
        <v>0</v>
      </c>
      <c r="M588" s="42">
        <v>0</v>
      </c>
      <c r="N588" s="43" t="s">
        <v>158</v>
      </c>
      <c r="O588" s="43" t="s">
        <v>158</v>
      </c>
      <c r="P588" s="43" t="s">
        <v>158</v>
      </c>
    </row>
    <row r="589" s="11" customFormat="1" spans="1:16">
      <c r="A589" s="32" t="s">
        <v>281</v>
      </c>
      <c r="B589" s="28" t="s">
        <v>220</v>
      </c>
      <c r="C589" s="28" t="s">
        <v>219</v>
      </c>
      <c r="D589" s="33" t="s">
        <v>136</v>
      </c>
      <c r="E589" s="34" t="s">
        <v>148</v>
      </c>
      <c r="F589" s="30">
        <v>1</v>
      </c>
      <c r="G589" s="30">
        <v>10</v>
      </c>
      <c r="H589" s="31">
        <v>3.9</v>
      </c>
      <c r="I589" s="40">
        <v>16.8</v>
      </c>
      <c r="J589" s="31" t="s">
        <v>283</v>
      </c>
      <c r="K589" s="31" t="s">
        <v>283</v>
      </c>
      <c r="L589" s="44">
        <v>0</v>
      </c>
      <c r="M589" s="42">
        <v>0</v>
      </c>
      <c r="N589" s="43" t="s">
        <v>158</v>
      </c>
      <c r="O589" s="43" t="s">
        <v>158</v>
      </c>
      <c r="P589" s="43" t="s">
        <v>158</v>
      </c>
    </row>
    <row r="590" s="11" customFormat="1" spans="1:16">
      <c r="A590" s="32" t="s">
        <v>281</v>
      </c>
      <c r="B590" s="28" t="s">
        <v>220</v>
      </c>
      <c r="C590" s="28" t="s">
        <v>219</v>
      </c>
      <c r="D590" s="33" t="s">
        <v>136</v>
      </c>
      <c r="E590" s="34" t="s">
        <v>148</v>
      </c>
      <c r="F590" s="30">
        <v>1</v>
      </c>
      <c r="G590" s="30">
        <v>7</v>
      </c>
      <c r="H590" s="31">
        <v>2.21</v>
      </c>
      <c r="I590" s="40">
        <v>16.8</v>
      </c>
      <c r="J590" s="31" t="s">
        <v>283</v>
      </c>
      <c r="K590" s="31" t="s">
        <v>283</v>
      </c>
      <c r="L590" s="44">
        <v>0</v>
      </c>
      <c r="M590" s="42">
        <v>0</v>
      </c>
      <c r="N590" s="43" t="s">
        <v>158</v>
      </c>
      <c r="O590" s="43" t="s">
        <v>158</v>
      </c>
      <c r="P590" s="43" t="s">
        <v>158</v>
      </c>
    </row>
    <row r="591" s="11" customFormat="1" spans="1:16">
      <c r="A591" s="32" t="s">
        <v>281</v>
      </c>
      <c r="B591" s="28" t="s">
        <v>220</v>
      </c>
      <c r="C591" s="28" t="s">
        <v>219</v>
      </c>
      <c r="D591" s="33" t="s">
        <v>136</v>
      </c>
      <c r="E591" s="34" t="s">
        <v>148</v>
      </c>
      <c r="F591" s="30">
        <v>1</v>
      </c>
      <c r="G591" s="30">
        <v>17</v>
      </c>
      <c r="H591" s="31">
        <v>4.8</v>
      </c>
      <c r="I591" s="40">
        <v>16.8</v>
      </c>
      <c r="J591" s="31" t="s">
        <v>283</v>
      </c>
      <c r="K591" s="31" t="s">
        <v>283</v>
      </c>
      <c r="L591" s="44">
        <v>0</v>
      </c>
      <c r="M591" s="42">
        <v>0</v>
      </c>
      <c r="N591" s="43" t="s">
        <v>158</v>
      </c>
      <c r="O591" s="43" t="s">
        <v>158</v>
      </c>
      <c r="P591" s="43" t="s">
        <v>158</v>
      </c>
    </row>
    <row r="592" s="11" customFormat="1" spans="1:16">
      <c r="A592" s="32" t="s">
        <v>281</v>
      </c>
      <c r="B592" s="28" t="s">
        <v>220</v>
      </c>
      <c r="C592" s="28" t="s">
        <v>219</v>
      </c>
      <c r="D592" s="33" t="s">
        <v>136</v>
      </c>
      <c r="E592" s="34" t="s">
        <v>148</v>
      </c>
      <c r="F592" s="30">
        <v>1</v>
      </c>
      <c r="G592" s="30">
        <v>15</v>
      </c>
      <c r="H592" s="31">
        <v>8</v>
      </c>
      <c r="I592" s="40">
        <v>16.8</v>
      </c>
      <c r="J592" s="31" t="s">
        <v>283</v>
      </c>
      <c r="K592" s="31" t="s">
        <v>283</v>
      </c>
      <c r="L592" s="44">
        <v>0</v>
      </c>
      <c r="M592" s="42">
        <v>0</v>
      </c>
      <c r="N592" s="43" t="s">
        <v>158</v>
      </c>
      <c r="O592" s="43" t="s">
        <v>158</v>
      </c>
      <c r="P592" s="43" t="s">
        <v>158</v>
      </c>
    </row>
    <row r="593" s="11" customFormat="1" spans="1:16">
      <c r="A593" s="32" t="s">
        <v>281</v>
      </c>
      <c r="B593" s="28" t="s">
        <v>218</v>
      </c>
      <c r="C593" s="28" t="s">
        <v>219</v>
      </c>
      <c r="D593" s="33" t="s">
        <v>136</v>
      </c>
      <c r="E593" s="34" t="s">
        <v>148</v>
      </c>
      <c r="F593" s="30">
        <v>1</v>
      </c>
      <c r="G593" s="30">
        <v>10</v>
      </c>
      <c r="H593" s="31">
        <v>8</v>
      </c>
      <c r="I593" s="40">
        <v>16.8</v>
      </c>
      <c r="J593" s="31" t="s">
        <v>283</v>
      </c>
      <c r="K593" s="31" t="s">
        <v>283</v>
      </c>
      <c r="L593" s="44">
        <v>0</v>
      </c>
      <c r="M593" s="42">
        <v>0</v>
      </c>
      <c r="N593" s="43" t="s">
        <v>158</v>
      </c>
      <c r="O593" s="43" t="s">
        <v>158</v>
      </c>
      <c r="P593" s="43" t="s">
        <v>158</v>
      </c>
    </row>
    <row r="594" s="11" customFormat="1" spans="1:16">
      <c r="A594" s="32" t="s">
        <v>281</v>
      </c>
      <c r="B594" s="28" t="s">
        <v>218</v>
      </c>
      <c r="C594" s="28" t="s">
        <v>219</v>
      </c>
      <c r="D594" s="33" t="s">
        <v>136</v>
      </c>
      <c r="E594" s="34" t="s">
        <v>148</v>
      </c>
      <c r="F594" s="30">
        <v>1</v>
      </c>
      <c r="G594" s="30">
        <v>10</v>
      </c>
      <c r="H594" s="31">
        <v>8.1</v>
      </c>
      <c r="I594" s="40">
        <v>16.8</v>
      </c>
      <c r="J594" s="31" t="s">
        <v>283</v>
      </c>
      <c r="K594" s="31" t="s">
        <v>283</v>
      </c>
      <c r="L594" s="44">
        <v>0</v>
      </c>
      <c r="M594" s="42">
        <v>0</v>
      </c>
      <c r="N594" s="43" t="s">
        <v>158</v>
      </c>
      <c r="O594" s="43" t="s">
        <v>158</v>
      </c>
      <c r="P594" s="43" t="s">
        <v>158</v>
      </c>
    </row>
    <row r="595" s="11" customFormat="1" spans="1:16">
      <c r="A595" s="32" t="s">
        <v>281</v>
      </c>
      <c r="B595" s="28" t="s">
        <v>218</v>
      </c>
      <c r="C595" s="28" t="s">
        <v>219</v>
      </c>
      <c r="D595" s="33" t="s">
        <v>136</v>
      </c>
      <c r="E595" s="34" t="s">
        <v>148</v>
      </c>
      <c r="F595" s="30">
        <v>1</v>
      </c>
      <c r="G595" s="30">
        <v>6</v>
      </c>
      <c r="H595" s="31">
        <v>7.2</v>
      </c>
      <c r="I595" s="40">
        <v>16.8</v>
      </c>
      <c r="J595" s="31" t="s">
        <v>283</v>
      </c>
      <c r="K595" s="31" t="s">
        <v>283</v>
      </c>
      <c r="L595" s="44">
        <v>0</v>
      </c>
      <c r="M595" s="42">
        <v>0</v>
      </c>
      <c r="N595" s="43" t="s">
        <v>158</v>
      </c>
      <c r="O595" s="43" t="s">
        <v>158</v>
      </c>
      <c r="P595" s="43" t="s">
        <v>158</v>
      </c>
    </row>
    <row r="596" s="11" customFormat="1" spans="1:16">
      <c r="A596" s="32" t="s">
        <v>281</v>
      </c>
      <c r="B596" s="28" t="s">
        <v>218</v>
      </c>
      <c r="C596" s="28" t="s">
        <v>219</v>
      </c>
      <c r="D596" s="33" t="s">
        <v>136</v>
      </c>
      <c r="E596" s="34" t="s">
        <v>148</v>
      </c>
      <c r="F596" s="30">
        <v>1</v>
      </c>
      <c r="G596" s="30">
        <v>9</v>
      </c>
      <c r="H596" s="31">
        <v>4.5</v>
      </c>
      <c r="I596" s="40">
        <v>16.8</v>
      </c>
      <c r="J596" s="31" t="s">
        <v>283</v>
      </c>
      <c r="K596" s="31" t="s">
        <v>283</v>
      </c>
      <c r="L596" s="44">
        <v>0</v>
      </c>
      <c r="M596" s="42">
        <v>0</v>
      </c>
      <c r="N596" s="43" t="s">
        <v>158</v>
      </c>
      <c r="O596" s="43" t="s">
        <v>158</v>
      </c>
      <c r="P596" s="43" t="s">
        <v>158</v>
      </c>
    </row>
    <row r="597" s="11" customFormat="1" spans="1:16">
      <c r="A597" s="32" t="s">
        <v>281</v>
      </c>
      <c r="B597" s="28" t="s">
        <v>218</v>
      </c>
      <c r="C597" s="28" t="s">
        <v>219</v>
      </c>
      <c r="D597" s="33" t="s">
        <v>136</v>
      </c>
      <c r="E597" s="34" t="s">
        <v>148</v>
      </c>
      <c r="F597" s="30">
        <v>1</v>
      </c>
      <c r="G597" s="30">
        <v>9</v>
      </c>
      <c r="H597" s="31">
        <v>4.7</v>
      </c>
      <c r="I597" s="40">
        <v>16.8</v>
      </c>
      <c r="J597" s="31" t="s">
        <v>283</v>
      </c>
      <c r="K597" s="31" t="s">
        <v>283</v>
      </c>
      <c r="L597" s="44">
        <v>0</v>
      </c>
      <c r="M597" s="42">
        <v>0</v>
      </c>
      <c r="N597" s="43" t="s">
        <v>158</v>
      </c>
      <c r="O597" s="43" t="s">
        <v>158</v>
      </c>
      <c r="P597" s="43" t="s">
        <v>158</v>
      </c>
    </row>
    <row r="598" s="11" customFormat="1" spans="1:16">
      <c r="A598" s="32" t="s">
        <v>281</v>
      </c>
      <c r="B598" s="28" t="s">
        <v>218</v>
      </c>
      <c r="C598" s="28" t="s">
        <v>219</v>
      </c>
      <c r="D598" s="33" t="s">
        <v>136</v>
      </c>
      <c r="E598" s="34" t="s">
        <v>148</v>
      </c>
      <c r="F598" s="30">
        <v>1</v>
      </c>
      <c r="G598" s="30">
        <v>10</v>
      </c>
      <c r="H598" s="31">
        <v>4.6</v>
      </c>
      <c r="I598" s="40">
        <v>16.8</v>
      </c>
      <c r="J598" s="31" t="s">
        <v>283</v>
      </c>
      <c r="K598" s="31" t="s">
        <v>283</v>
      </c>
      <c r="L598" s="44">
        <v>0</v>
      </c>
      <c r="M598" s="42">
        <v>0</v>
      </c>
      <c r="N598" s="43" t="s">
        <v>158</v>
      </c>
      <c r="O598" s="43" t="s">
        <v>158</v>
      </c>
      <c r="P598" s="43" t="s">
        <v>158</v>
      </c>
    </row>
    <row r="599" s="11" customFormat="1" spans="1:16">
      <c r="A599" s="32" t="s">
        <v>281</v>
      </c>
      <c r="B599" s="28" t="s">
        <v>218</v>
      </c>
      <c r="C599" s="28" t="s">
        <v>219</v>
      </c>
      <c r="D599" s="33" t="s">
        <v>136</v>
      </c>
      <c r="E599" s="34" t="s">
        <v>148</v>
      </c>
      <c r="F599" s="30">
        <v>1</v>
      </c>
      <c r="G599" s="30">
        <v>8</v>
      </c>
      <c r="H599" s="31">
        <v>4.4</v>
      </c>
      <c r="I599" s="40">
        <v>16.8</v>
      </c>
      <c r="J599" s="31" t="s">
        <v>283</v>
      </c>
      <c r="K599" s="31" t="s">
        <v>283</v>
      </c>
      <c r="L599" s="44">
        <v>0</v>
      </c>
      <c r="M599" s="42">
        <v>0</v>
      </c>
      <c r="N599" s="43" t="s">
        <v>158</v>
      </c>
      <c r="O599" s="43" t="s">
        <v>158</v>
      </c>
      <c r="P599" s="43" t="s">
        <v>158</v>
      </c>
    </row>
    <row r="600" s="11" customFormat="1" spans="1:16">
      <c r="A600" s="32" t="s">
        <v>281</v>
      </c>
      <c r="B600" s="28" t="s">
        <v>218</v>
      </c>
      <c r="C600" s="28" t="s">
        <v>219</v>
      </c>
      <c r="D600" s="33" t="s">
        <v>136</v>
      </c>
      <c r="E600" s="34" t="s">
        <v>148</v>
      </c>
      <c r="F600" s="30">
        <v>1</v>
      </c>
      <c r="G600" s="30">
        <v>9</v>
      </c>
      <c r="H600" s="31">
        <v>9.52</v>
      </c>
      <c r="I600" s="40">
        <v>16.8</v>
      </c>
      <c r="J600" s="31" t="s">
        <v>283</v>
      </c>
      <c r="K600" s="31" t="s">
        <v>283</v>
      </c>
      <c r="L600" s="44">
        <v>0</v>
      </c>
      <c r="M600" s="42">
        <v>0</v>
      </c>
      <c r="N600" s="43" t="s">
        <v>158</v>
      </c>
      <c r="O600" s="43" t="s">
        <v>158</v>
      </c>
      <c r="P600" s="43" t="s">
        <v>158</v>
      </c>
    </row>
    <row r="601" s="11" customFormat="1" spans="1:16">
      <c r="A601" s="32" t="s">
        <v>281</v>
      </c>
      <c r="B601" s="28" t="s">
        <v>218</v>
      </c>
      <c r="C601" s="28" t="s">
        <v>219</v>
      </c>
      <c r="D601" s="33" t="s">
        <v>136</v>
      </c>
      <c r="E601" s="34" t="s">
        <v>148</v>
      </c>
      <c r="F601" s="30">
        <v>1</v>
      </c>
      <c r="G601" s="30">
        <v>9</v>
      </c>
      <c r="H601" s="31">
        <v>8</v>
      </c>
      <c r="I601" s="40">
        <v>16.8</v>
      </c>
      <c r="J601" s="31" t="s">
        <v>283</v>
      </c>
      <c r="K601" s="31" t="s">
        <v>283</v>
      </c>
      <c r="L601" s="44">
        <v>0</v>
      </c>
      <c r="M601" s="42">
        <v>0</v>
      </c>
      <c r="N601" s="43" t="s">
        <v>158</v>
      </c>
      <c r="O601" s="43" t="s">
        <v>158</v>
      </c>
      <c r="P601" s="43" t="s">
        <v>158</v>
      </c>
    </row>
    <row r="602" s="11" customFormat="1" spans="1:16">
      <c r="A602" s="32" t="s">
        <v>281</v>
      </c>
      <c r="B602" s="28" t="s">
        <v>218</v>
      </c>
      <c r="C602" s="28" t="s">
        <v>219</v>
      </c>
      <c r="D602" s="33" t="s">
        <v>136</v>
      </c>
      <c r="E602" s="34" t="s">
        <v>148</v>
      </c>
      <c r="F602" s="30">
        <v>1</v>
      </c>
      <c r="G602" s="30">
        <v>9</v>
      </c>
      <c r="H602" s="31">
        <v>4.1</v>
      </c>
      <c r="I602" s="40">
        <v>16.8</v>
      </c>
      <c r="J602" s="31" t="s">
        <v>283</v>
      </c>
      <c r="K602" s="31" t="s">
        <v>283</v>
      </c>
      <c r="L602" s="44">
        <v>0</v>
      </c>
      <c r="M602" s="42">
        <v>0</v>
      </c>
      <c r="N602" s="43" t="s">
        <v>158</v>
      </c>
      <c r="O602" s="43" t="s">
        <v>158</v>
      </c>
      <c r="P602" s="43" t="s">
        <v>158</v>
      </c>
    </row>
    <row r="603" s="11" customFormat="1" spans="1:16">
      <c r="A603" s="32" t="s">
        <v>281</v>
      </c>
      <c r="B603" s="28" t="s">
        <v>218</v>
      </c>
      <c r="C603" s="28" t="s">
        <v>219</v>
      </c>
      <c r="D603" s="33" t="s">
        <v>136</v>
      </c>
      <c r="E603" s="34" t="s">
        <v>148</v>
      </c>
      <c r="F603" s="30">
        <v>1</v>
      </c>
      <c r="G603" s="30">
        <v>9</v>
      </c>
      <c r="H603" s="31">
        <v>4.25</v>
      </c>
      <c r="I603" s="40">
        <v>16.8</v>
      </c>
      <c r="J603" s="31" t="s">
        <v>283</v>
      </c>
      <c r="K603" s="31" t="s">
        <v>283</v>
      </c>
      <c r="L603" s="44">
        <v>0</v>
      </c>
      <c r="M603" s="42">
        <v>0</v>
      </c>
      <c r="N603" s="43" t="s">
        <v>158</v>
      </c>
      <c r="O603" s="43" t="s">
        <v>158</v>
      </c>
      <c r="P603" s="43" t="s">
        <v>158</v>
      </c>
    </row>
    <row r="604" s="11" customFormat="1" spans="1:16">
      <c r="A604" s="32" t="s">
        <v>281</v>
      </c>
      <c r="B604" s="28" t="s">
        <v>218</v>
      </c>
      <c r="C604" s="28" t="s">
        <v>219</v>
      </c>
      <c r="D604" s="33" t="s">
        <v>136</v>
      </c>
      <c r="E604" s="34" t="s">
        <v>148</v>
      </c>
      <c r="F604" s="30">
        <v>1</v>
      </c>
      <c r="G604" s="30">
        <v>9</v>
      </c>
      <c r="H604" s="31">
        <v>8</v>
      </c>
      <c r="I604" s="40">
        <v>16.8</v>
      </c>
      <c r="J604" s="31" t="s">
        <v>283</v>
      </c>
      <c r="K604" s="31" t="s">
        <v>283</v>
      </c>
      <c r="L604" s="44">
        <v>0</v>
      </c>
      <c r="M604" s="42">
        <v>0</v>
      </c>
      <c r="N604" s="43" t="s">
        <v>158</v>
      </c>
      <c r="O604" s="43" t="s">
        <v>158</v>
      </c>
      <c r="P604" s="43" t="s">
        <v>158</v>
      </c>
    </row>
    <row r="605" s="11" customFormat="1" spans="1:16">
      <c r="A605" s="32" t="s">
        <v>281</v>
      </c>
      <c r="B605" s="28" t="s">
        <v>218</v>
      </c>
      <c r="C605" s="28" t="s">
        <v>219</v>
      </c>
      <c r="D605" s="33" t="s">
        <v>136</v>
      </c>
      <c r="E605" s="34" t="s">
        <v>148</v>
      </c>
      <c r="F605" s="30">
        <v>1</v>
      </c>
      <c r="G605" s="30">
        <v>9</v>
      </c>
      <c r="H605" s="31">
        <v>8.1</v>
      </c>
      <c r="I605" s="40">
        <v>16.8</v>
      </c>
      <c r="J605" s="31" t="s">
        <v>283</v>
      </c>
      <c r="K605" s="31" t="s">
        <v>283</v>
      </c>
      <c r="L605" s="44">
        <v>0</v>
      </c>
      <c r="M605" s="42">
        <v>0</v>
      </c>
      <c r="N605" s="43" t="s">
        <v>158</v>
      </c>
      <c r="O605" s="43" t="s">
        <v>158</v>
      </c>
      <c r="P605" s="43" t="s">
        <v>158</v>
      </c>
    </row>
    <row r="606" s="11" customFormat="1" spans="1:16">
      <c r="A606" s="27" t="s">
        <v>284</v>
      </c>
      <c r="B606" s="28"/>
      <c r="C606" s="28"/>
      <c r="D606" s="33"/>
      <c r="E606" s="34"/>
      <c r="F606" s="30"/>
      <c r="G606" s="30"/>
      <c r="H606" s="31"/>
      <c r="I606" s="40"/>
      <c r="J606" s="31"/>
      <c r="K606" s="31"/>
      <c r="L606" s="44"/>
      <c r="M606" s="42"/>
      <c r="N606" s="43"/>
      <c r="O606" s="43"/>
      <c r="P606" s="43"/>
    </row>
    <row r="607" s="11" customFormat="1" spans="1:16">
      <c r="A607" s="32" t="s">
        <v>285</v>
      </c>
      <c r="B607" s="28" t="s">
        <v>206</v>
      </c>
      <c r="C607" s="28" t="s">
        <v>207</v>
      </c>
      <c r="D607" s="33" t="str">
        <f>+IFERROR(VLOOKUP(C607,Data,4,FALSE),"Not in data")</f>
        <v>S</v>
      </c>
      <c r="E607" s="34" t="s">
        <v>149</v>
      </c>
      <c r="F607" s="30">
        <v>1</v>
      </c>
      <c r="G607" s="30">
        <v>1</v>
      </c>
      <c r="H607" s="31">
        <v>8.8</v>
      </c>
      <c r="I607" s="40">
        <f t="shared" ref="I607:I638" si="76">+IF(F607&lt;&gt;"",F607*G607*H607,0)</f>
        <v>8.8</v>
      </c>
      <c r="J607" s="31">
        <f>+IFERROR(VLOOKUP(C607,Data,2,FALSE),"Not in weight table")</f>
        <v>4.56</v>
      </c>
      <c r="K607" s="31">
        <f>+IFERROR(VLOOKUP(C607,Data,3,FALSE),"Not in weight table")</f>
        <v>0.255</v>
      </c>
      <c r="L607" s="44">
        <f t="shared" ref="L607:L638" si="77">+IF(ISNUMBER(J607),I607*J607/1000,0)</f>
        <v>0.040128</v>
      </c>
      <c r="M607" s="42">
        <f t="shared" ref="M607:M638" si="78">+IF(ISNUMBER(K607),I607*K607,0)</f>
        <v>2.244</v>
      </c>
      <c r="N607" s="43" t="s">
        <v>158</v>
      </c>
      <c r="O607" s="43" t="s">
        <v>158</v>
      </c>
      <c r="P607" s="43" t="s">
        <v>158</v>
      </c>
    </row>
    <row r="608" s="11" customFormat="1" spans="1:16">
      <c r="A608" s="32" t="s">
        <v>285</v>
      </c>
      <c r="B608" s="28" t="s">
        <v>206</v>
      </c>
      <c r="C608" s="28" t="s">
        <v>207</v>
      </c>
      <c r="D608" s="33" t="str">
        <f>+IFERROR(VLOOKUP(C608,Data,4,FALSE),"Not in data")</f>
        <v>S</v>
      </c>
      <c r="E608" s="34" t="s">
        <v>149</v>
      </c>
      <c r="F608" s="30">
        <v>1</v>
      </c>
      <c r="G608" s="30">
        <v>1</v>
      </c>
      <c r="H608" s="31">
        <v>8.5</v>
      </c>
      <c r="I608" s="40">
        <f t="shared" si="76"/>
        <v>8.5</v>
      </c>
      <c r="J608" s="31">
        <f>+IFERROR(VLOOKUP(C608,Data,2,FALSE),"Not in weight table")</f>
        <v>4.56</v>
      </c>
      <c r="K608" s="31">
        <f>+IFERROR(VLOOKUP(C608,Data,3,FALSE),"Not in weight table")</f>
        <v>0.255</v>
      </c>
      <c r="L608" s="44">
        <f t="shared" si="77"/>
        <v>0.03876</v>
      </c>
      <c r="M608" s="42">
        <f t="shared" si="78"/>
        <v>2.1675</v>
      </c>
      <c r="N608" s="43" t="s">
        <v>158</v>
      </c>
      <c r="O608" s="43" t="s">
        <v>158</v>
      </c>
      <c r="P608" s="43" t="s">
        <v>158</v>
      </c>
    </row>
    <row r="609" s="11" customFormat="1" spans="1:16">
      <c r="A609" s="32" t="s">
        <v>285</v>
      </c>
      <c r="B609" s="28" t="s">
        <v>206</v>
      </c>
      <c r="C609" s="28" t="s">
        <v>207</v>
      </c>
      <c r="D609" s="33" t="str">
        <f>+IFERROR(VLOOKUP(C609,Data,4,FALSE),"Not in data")</f>
        <v>S</v>
      </c>
      <c r="E609" s="34" t="s">
        <v>149</v>
      </c>
      <c r="F609" s="30">
        <v>1</v>
      </c>
      <c r="G609" s="30">
        <v>1</v>
      </c>
      <c r="H609" s="31">
        <v>6.7</v>
      </c>
      <c r="I609" s="40">
        <f t="shared" si="76"/>
        <v>6.7</v>
      </c>
      <c r="J609" s="31">
        <f>+IFERROR(VLOOKUP(C609,Data,2,FALSE),"Not in weight table")</f>
        <v>4.56</v>
      </c>
      <c r="K609" s="31">
        <f>+IFERROR(VLOOKUP(C609,Data,3,FALSE),"Not in weight table")</f>
        <v>0.255</v>
      </c>
      <c r="L609" s="44">
        <f t="shared" si="77"/>
        <v>0.030552</v>
      </c>
      <c r="M609" s="42">
        <f t="shared" si="78"/>
        <v>1.7085</v>
      </c>
      <c r="N609" s="43" t="s">
        <v>158</v>
      </c>
      <c r="O609" s="43" t="s">
        <v>158</v>
      </c>
      <c r="P609" s="43" t="s">
        <v>158</v>
      </c>
    </row>
    <row r="610" s="11" customFormat="1" spans="1:16">
      <c r="A610" s="32" t="s">
        <v>285</v>
      </c>
      <c r="B610" s="28" t="s">
        <v>206</v>
      </c>
      <c r="C610" s="28" t="s">
        <v>207</v>
      </c>
      <c r="D610" s="33" t="str">
        <f>+IFERROR(VLOOKUP(C610,Data,4,FALSE),"Not in data")</f>
        <v>S</v>
      </c>
      <c r="E610" s="34" t="s">
        <v>149</v>
      </c>
      <c r="F610" s="30">
        <v>1</v>
      </c>
      <c r="G610" s="30">
        <v>1</v>
      </c>
      <c r="H610" s="31">
        <v>6.6</v>
      </c>
      <c r="I610" s="40">
        <f t="shared" si="76"/>
        <v>6.6</v>
      </c>
      <c r="J610" s="31">
        <f>+IFERROR(VLOOKUP(C610,Data,2,FALSE),"Not in weight table")</f>
        <v>4.56</v>
      </c>
      <c r="K610" s="31">
        <f>+IFERROR(VLOOKUP(C610,Data,3,FALSE),"Not in weight table")</f>
        <v>0.255</v>
      </c>
      <c r="L610" s="44">
        <f t="shared" si="77"/>
        <v>0.030096</v>
      </c>
      <c r="M610" s="42">
        <f t="shared" si="78"/>
        <v>1.683</v>
      </c>
      <c r="N610" s="43" t="s">
        <v>158</v>
      </c>
      <c r="O610" s="43" t="s">
        <v>158</v>
      </c>
      <c r="P610" s="43" t="s">
        <v>158</v>
      </c>
    </row>
    <row r="611" s="11" customFormat="1" spans="1:16">
      <c r="A611" s="32" t="s">
        <v>285</v>
      </c>
      <c r="B611" s="28" t="s">
        <v>206</v>
      </c>
      <c r="C611" s="28" t="s">
        <v>207</v>
      </c>
      <c r="D611" s="33" t="str">
        <f>+IFERROR(VLOOKUP(C611,Data,4,FALSE),"Not in data")</f>
        <v>S</v>
      </c>
      <c r="E611" s="34" t="s">
        <v>149</v>
      </c>
      <c r="F611" s="30">
        <v>1</v>
      </c>
      <c r="G611" s="30">
        <v>1</v>
      </c>
      <c r="H611" s="31">
        <v>6.7</v>
      </c>
      <c r="I611" s="40">
        <f t="shared" si="76"/>
        <v>6.7</v>
      </c>
      <c r="J611" s="31">
        <f>+IFERROR(VLOOKUP(C611,Data,2,FALSE),"Not in weight table")</f>
        <v>4.56</v>
      </c>
      <c r="K611" s="31">
        <f>+IFERROR(VLOOKUP(C611,Data,3,FALSE),"Not in weight table")</f>
        <v>0.255</v>
      </c>
      <c r="L611" s="44">
        <f t="shared" si="77"/>
        <v>0.030552</v>
      </c>
      <c r="M611" s="42">
        <f t="shared" si="78"/>
        <v>1.7085</v>
      </c>
      <c r="N611" s="43" t="s">
        <v>158</v>
      </c>
      <c r="O611" s="43" t="s">
        <v>158</v>
      </c>
      <c r="P611" s="43" t="s">
        <v>158</v>
      </c>
    </row>
    <row r="612" s="11" customFormat="1" spans="1:16">
      <c r="A612" s="32" t="s">
        <v>285</v>
      </c>
      <c r="B612" s="28" t="s">
        <v>206</v>
      </c>
      <c r="C612" s="28" t="s">
        <v>207</v>
      </c>
      <c r="D612" s="33" t="str">
        <f>+IFERROR(VLOOKUP(C612,Data,4,FALSE),"Not in data")</f>
        <v>S</v>
      </c>
      <c r="E612" s="34" t="s">
        <v>149</v>
      </c>
      <c r="F612" s="30">
        <v>1</v>
      </c>
      <c r="G612" s="30">
        <v>1</v>
      </c>
      <c r="H612" s="31">
        <v>8.1</v>
      </c>
      <c r="I612" s="40">
        <f t="shared" si="76"/>
        <v>8.1</v>
      </c>
      <c r="J612" s="31">
        <f>+IFERROR(VLOOKUP(C612,Data,2,FALSE),"Not in weight table")</f>
        <v>4.56</v>
      </c>
      <c r="K612" s="31">
        <f>+IFERROR(VLOOKUP(C612,Data,3,FALSE),"Not in weight table")</f>
        <v>0.255</v>
      </c>
      <c r="L612" s="44">
        <f t="shared" si="77"/>
        <v>0.036936</v>
      </c>
      <c r="M612" s="42">
        <f t="shared" si="78"/>
        <v>2.0655</v>
      </c>
      <c r="N612" s="43" t="s">
        <v>158</v>
      </c>
      <c r="O612" s="43" t="s">
        <v>158</v>
      </c>
      <c r="P612" s="43" t="s">
        <v>158</v>
      </c>
    </row>
    <row r="613" s="11" customFormat="1" spans="1:16">
      <c r="A613" s="32" t="s">
        <v>285</v>
      </c>
      <c r="B613" s="28" t="s">
        <v>206</v>
      </c>
      <c r="C613" s="28" t="s">
        <v>207</v>
      </c>
      <c r="D613" s="33" t="str">
        <f>+IFERROR(VLOOKUP(C613,Data,4,FALSE),"Not in data")</f>
        <v>S</v>
      </c>
      <c r="E613" s="34" t="s">
        <v>149</v>
      </c>
      <c r="F613" s="30">
        <v>1</v>
      </c>
      <c r="G613" s="30">
        <v>2</v>
      </c>
      <c r="H613" s="31">
        <v>7</v>
      </c>
      <c r="I613" s="40">
        <f t="shared" si="76"/>
        <v>14</v>
      </c>
      <c r="J613" s="31">
        <f>+IFERROR(VLOOKUP(C613,Data,2,FALSE),"Not in weight table")</f>
        <v>4.56</v>
      </c>
      <c r="K613" s="31">
        <f>+IFERROR(VLOOKUP(C613,Data,3,FALSE),"Not in weight table")</f>
        <v>0.255</v>
      </c>
      <c r="L613" s="44">
        <f t="shared" si="77"/>
        <v>0.06384</v>
      </c>
      <c r="M613" s="42">
        <f t="shared" si="78"/>
        <v>3.57</v>
      </c>
      <c r="N613" s="43" t="s">
        <v>158</v>
      </c>
      <c r="O613" s="43" t="s">
        <v>158</v>
      </c>
      <c r="P613" s="43" t="s">
        <v>158</v>
      </c>
    </row>
    <row r="614" s="11" customFormat="1" spans="1:16">
      <c r="A614" s="32" t="s">
        <v>285</v>
      </c>
      <c r="B614" s="28" t="s">
        <v>206</v>
      </c>
      <c r="C614" s="28" t="s">
        <v>207</v>
      </c>
      <c r="D614" s="33" t="str">
        <f>+IFERROR(VLOOKUP(C614,Data,4,FALSE),"Not in data")</f>
        <v>S</v>
      </c>
      <c r="E614" s="34" t="s">
        <v>149</v>
      </c>
      <c r="F614" s="30">
        <v>1</v>
      </c>
      <c r="G614" s="30">
        <v>2</v>
      </c>
      <c r="H614" s="31">
        <v>7.1</v>
      </c>
      <c r="I614" s="40">
        <f t="shared" si="76"/>
        <v>14.2</v>
      </c>
      <c r="J614" s="31">
        <f>+IFERROR(VLOOKUP(C614,Data,2,FALSE),"Not in weight table")</f>
        <v>4.56</v>
      </c>
      <c r="K614" s="31">
        <f>+IFERROR(VLOOKUP(C614,Data,3,FALSE),"Not in weight table")</f>
        <v>0.255</v>
      </c>
      <c r="L614" s="44">
        <f t="shared" si="77"/>
        <v>0.064752</v>
      </c>
      <c r="M614" s="42">
        <f t="shared" si="78"/>
        <v>3.621</v>
      </c>
      <c r="N614" s="43" t="s">
        <v>158</v>
      </c>
      <c r="O614" s="43" t="s">
        <v>158</v>
      </c>
      <c r="P614" s="43" t="s">
        <v>158</v>
      </c>
    </row>
    <row r="615" s="11" customFormat="1" spans="1:16">
      <c r="A615" s="32" t="s">
        <v>285</v>
      </c>
      <c r="B615" s="28" t="s">
        <v>206</v>
      </c>
      <c r="C615" s="28" t="s">
        <v>207</v>
      </c>
      <c r="D615" s="33" t="str">
        <f>+IFERROR(VLOOKUP(C615,Data,4,FALSE),"Not in data")</f>
        <v>S</v>
      </c>
      <c r="E615" s="34" t="s">
        <v>149</v>
      </c>
      <c r="F615" s="30">
        <v>1</v>
      </c>
      <c r="G615" s="30">
        <v>1</v>
      </c>
      <c r="H615" s="31">
        <v>9.6</v>
      </c>
      <c r="I615" s="40">
        <f t="shared" si="76"/>
        <v>9.6</v>
      </c>
      <c r="J615" s="31">
        <f>+IFERROR(VLOOKUP(C615,Data,2,FALSE),"Not in weight table")</f>
        <v>4.56</v>
      </c>
      <c r="K615" s="31">
        <f>+IFERROR(VLOOKUP(C615,Data,3,FALSE),"Not in weight table")</f>
        <v>0.255</v>
      </c>
      <c r="L615" s="44">
        <f t="shared" si="77"/>
        <v>0.043776</v>
      </c>
      <c r="M615" s="42">
        <f t="shared" si="78"/>
        <v>2.448</v>
      </c>
      <c r="N615" s="43" t="s">
        <v>158</v>
      </c>
      <c r="O615" s="43" t="s">
        <v>158</v>
      </c>
      <c r="P615" s="43" t="s">
        <v>158</v>
      </c>
    </row>
    <row r="616" s="11" customFormat="1" spans="1:16">
      <c r="A616" s="32" t="s">
        <v>285</v>
      </c>
      <c r="B616" s="28" t="s">
        <v>206</v>
      </c>
      <c r="C616" s="28" t="s">
        <v>207</v>
      </c>
      <c r="D616" s="33" t="str">
        <f>+IFERROR(VLOOKUP(C616,Data,4,FALSE),"Not in data")</f>
        <v>S</v>
      </c>
      <c r="E616" s="34" t="s">
        <v>149</v>
      </c>
      <c r="F616" s="30">
        <v>1</v>
      </c>
      <c r="G616" s="30">
        <v>1</v>
      </c>
      <c r="H616" s="31">
        <v>9.8</v>
      </c>
      <c r="I616" s="40">
        <f t="shared" si="76"/>
        <v>9.8</v>
      </c>
      <c r="J616" s="31">
        <f>+IFERROR(VLOOKUP(C616,Data,2,FALSE),"Not in weight table")</f>
        <v>4.56</v>
      </c>
      <c r="K616" s="31">
        <f>+IFERROR(VLOOKUP(C616,Data,3,FALSE),"Not in weight table")</f>
        <v>0.255</v>
      </c>
      <c r="L616" s="44">
        <f t="shared" si="77"/>
        <v>0.044688</v>
      </c>
      <c r="M616" s="42">
        <f t="shared" si="78"/>
        <v>2.499</v>
      </c>
      <c r="N616" s="43" t="s">
        <v>158</v>
      </c>
      <c r="O616" s="43" t="s">
        <v>158</v>
      </c>
      <c r="P616" s="43" t="s">
        <v>158</v>
      </c>
    </row>
    <row r="617" s="11" customFormat="1" spans="1:16">
      <c r="A617" s="32" t="s">
        <v>285</v>
      </c>
      <c r="B617" s="28" t="s">
        <v>206</v>
      </c>
      <c r="C617" s="28" t="s">
        <v>207</v>
      </c>
      <c r="D617" s="33" t="str">
        <f>+IFERROR(VLOOKUP(C617,Data,4,FALSE),"Not in data")</f>
        <v>S</v>
      </c>
      <c r="E617" s="34" t="s">
        <v>149</v>
      </c>
      <c r="F617" s="30">
        <v>1</v>
      </c>
      <c r="G617" s="30">
        <v>1</v>
      </c>
      <c r="H617" s="31">
        <v>6.9</v>
      </c>
      <c r="I617" s="40">
        <f t="shared" si="76"/>
        <v>6.9</v>
      </c>
      <c r="J617" s="31">
        <f>+IFERROR(VLOOKUP(C617,Data,2,FALSE),"Not in weight table")</f>
        <v>4.56</v>
      </c>
      <c r="K617" s="31">
        <f>+IFERROR(VLOOKUP(C617,Data,3,FALSE),"Not in weight table")</f>
        <v>0.255</v>
      </c>
      <c r="L617" s="44">
        <f t="shared" si="77"/>
        <v>0.031464</v>
      </c>
      <c r="M617" s="42">
        <f t="shared" si="78"/>
        <v>1.7595</v>
      </c>
      <c r="N617" s="43" t="s">
        <v>158</v>
      </c>
      <c r="O617" s="43" t="s">
        <v>158</v>
      </c>
      <c r="P617" s="43" t="s">
        <v>158</v>
      </c>
    </row>
    <row r="618" s="11" customFormat="1" spans="1:16">
      <c r="A618" s="32" t="s">
        <v>285</v>
      </c>
      <c r="B618" s="28" t="s">
        <v>206</v>
      </c>
      <c r="C618" s="28" t="s">
        <v>207</v>
      </c>
      <c r="D618" s="33" t="str">
        <f>+IFERROR(VLOOKUP(C618,Data,4,FALSE),"Not in data")</f>
        <v>S</v>
      </c>
      <c r="E618" s="34" t="s">
        <v>149</v>
      </c>
      <c r="F618" s="30">
        <v>1</v>
      </c>
      <c r="G618" s="30">
        <v>1</v>
      </c>
      <c r="H618" s="31">
        <v>6.7</v>
      </c>
      <c r="I618" s="40">
        <f t="shared" si="76"/>
        <v>6.7</v>
      </c>
      <c r="J618" s="31">
        <f>+IFERROR(VLOOKUP(C618,Data,2,FALSE),"Not in weight table")</f>
        <v>4.56</v>
      </c>
      <c r="K618" s="31">
        <f>+IFERROR(VLOOKUP(C618,Data,3,FALSE),"Not in weight table")</f>
        <v>0.255</v>
      </c>
      <c r="L618" s="44">
        <f t="shared" si="77"/>
        <v>0.030552</v>
      </c>
      <c r="M618" s="42">
        <f t="shared" si="78"/>
        <v>1.7085</v>
      </c>
      <c r="N618" s="43" t="s">
        <v>158</v>
      </c>
      <c r="O618" s="43" t="s">
        <v>158</v>
      </c>
      <c r="P618" s="43" t="s">
        <v>158</v>
      </c>
    </row>
    <row r="619" s="11" customFormat="1" spans="1:16">
      <c r="A619" s="32" t="s">
        <v>285</v>
      </c>
      <c r="B619" s="28" t="s">
        <v>206</v>
      </c>
      <c r="C619" s="28" t="s">
        <v>207</v>
      </c>
      <c r="D619" s="33" t="str">
        <f>+IFERROR(VLOOKUP(C619,Data,4,FALSE),"Not in data")</f>
        <v>S</v>
      </c>
      <c r="E619" s="34" t="s">
        <v>149</v>
      </c>
      <c r="F619" s="30">
        <v>1</v>
      </c>
      <c r="G619" s="30">
        <v>2</v>
      </c>
      <c r="H619" s="31">
        <v>6.4</v>
      </c>
      <c r="I619" s="40">
        <f t="shared" si="76"/>
        <v>12.8</v>
      </c>
      <c r="J619" s="31">
        <f>+IFERROR(VLOOKUP(C619,Data,2,FALSE),"Not in weight table")</f>
        <v>4.56</v>
      </c>
      <c r="K619" s="31">
        <f>+IFERROR(VLOOKUP(C619,Data,3,FALSE),"Not in weight table")</f>
        <v>0.255</v>
      </c>
      <c r="L619" s="44">
        <f t="shared" si="77"/>
        <v>0.058368</v>
      </c>
      <c r="M619" s="42">
        <f t="shared" si="78"/>
        <v>3.264</v>
      </c>
      <c r="N619" s="43" t="s">
        <v>158</v>
      </c>
      <c r="O619" s="43" t="s">
        <v>158</v>
      </c>
      <c r="P619" s="43" t="s">
        <v>158</v>
      </c>
    </row>
    <row r="620" s="11" customFormat="1" spans="1:16">
      <c r="A620" s="32" t="s">
        <v>285</v>
      </c>
      <c r="B620" s="28" t="s">
        <v>206</v>
      </c>
      <c r="C620" s="28" t="s">
        <v>207</v>
      </c>
      <c r="D620" s="33" t="str">
        <f>+IFERROR(VLOOKUP(C620,Data,4,FALSE),"Not in data")</f>
        <v>S</v>
      </c>
      <c r="E620" s="34" t="s">
        <v>149</v>
      </c>
      <c r="F620" s="30">
        <v>1</v>
      </c>
      <c r="G620" s="30">
        <v>1</v>
      </c>
      <c r="H620" s="31">
        <v>9.6</v>
      </c>
      <c r="I620" s="40">
        <f t="shared" si="76"/>
        <v>9.6</v>
      </c>
      <c r="J620" s="31">
        <f>+IFERROR(VLOOKUP(C620,Data,2,FALSE),"Not in weight table")</f>
        <v>4.56</v>
      </c>
      <c r="K620" s="31">
        <f>+IFERROR(VLOOKUP(C620,Data,3,FALSE),"Not in weight table")</f>
        <v>0.255</v>
      </c>
      <c r="L620" s="44">
        <f t="shared" si="77"/>
        <v>0.043776</v>
      </c>
      <c r="M620" s="42">
        <f t="shared" si="78"/>
        <v>2.448</v>
      </c>
      <c r="N620" s="43" t="s">
        <v>158</v>
      </c>
      <c r="O620" s="43" t="s">
        <v>158</v>
      </c>
      <c r="P620" s="43" t="s">
        <v>158</v>
      </c>
    </row>
    <row r="621" s="11" customFormat="1" spans="1:16">
      <c r="A621" s="32" t="s">
        <v>285</v>
      </c>
      <c r="B621" s="28" t="s">
        <v>206</v>
      </c>
      <c r="C621" s="28" t="s">
        <v>207</v>
      </c>
      <c r="D621" s="33" t="str">
        <f>+IFERROR(VLOOKUP(C621,Data,4,FALSE),"Not in data")</f>
        <v>S</v>
      </c>
      <c r="E621" s="34" t="s">
        <v>149</v>
      </c>
      <c r="F621" s="30">
        <v>1</v>
      </c>
      <c r="G621" s="30">
        <v>1</v>
      </c>
      <c r="H621" s="31">
        <v>8.8</v>
      </c>
      <c r="I621" s="40">
        <f t="shared" si="76"/>
        <v>8.8</v>
      </c>
      <c r="J621" s="31">
        <f>+IFERROR(VLOOKUP(C621,Data,2,FALSE),"Not in weight table")</f>
        <v>4.56</v>
      </c>
      <c r="K621" s="31">
        <f>+IFERROR(VLOOKUP(C621,Data,3,FALSE),"Not in weight table")</f>
        <v>0.255</v>
      </c>
      <c r="L621" s="44">
        <f t="shared" si="77"/>
        <v>0.040128</v>
      </c>
      <c r="M621" s="42">
        <f t="shared" si="78"/>
        <v>2.244</v>
      </c>
      <c r="N621" s="43" t="s">
        <v>158</v>
      </c>
      <c r="O621" s="43" t="s">
        <v>158</v>
      </c>
      <c r="P621" s="43" t="s">
        <v>158</v>
      </c>
    </row>
    <row r="622" s="11" customFormat="1" spans="1:16">
      <c r="A622" s="32" t="s">
        <v>285</v>
      </c>
      <c r="B622" s="28" t="s">
        <v>206</v>
      </c>
      <c r="C622" s="28" t="s">
        <v>207</v>
      </c>
      <c r="D622" s="33" t="str">
        <f>+IFERROR(VLOOKUP(C622,Data,4,FALSE),"Not in data")</f>
        <v>S</v>
      </c>
      <c r="E622" s="34" t="s">
        <v>149</v>
      </c>
      <c r="F622" s="30">
        <v>1</v>
      </c>
      <c r="G622" s="30">
        <v>1</v>
      </c>
      <c r="H622" s="31">
        <v>5.6</v>
      </c>
      <c r="I622" s="40">
        <f t="shared" si="76"/>
        <v>5.6</v>
      </c>
      <c r="J622" s="31">
        <f>+IFERROR(VLOOKUP(C622,Data,2,FALSE),"Not in weight table")</f>
        <v>4.56</v>
      </c>
      <c r="K622" s="31">
        <f>+IFERROR(VLOOKUP(C622,Data,3,FALSE),"Not in weight table")</f>
        <v>0.255</v>
      </c>
      <c r="L622" s="44">
        <f t="shared" si="77"/>
        <v>0.025536</v>
      </c>
      <c r="M622" s="42">
        <f t="shared" si="78"/>
        <v>1.428</v>
      </c>
      <c r="N622" s="43" t="s">
        <v>158</v>
      </c>
      <c r="O622" s="43" t="s">
        <v>158</v>
      </c>
      <c r="P622" s="43" t="s">
        <v>158</v>
      </c>
    </row>
    <row r="623" s="11" customFormat="1" spans="1:16">
      <c r="A623" s="32" t="s">
        <v>285</v>
      </c>
      <c r="B623" s="28" t="s">
        <v>206</v>
      </c>
      <c r="C623" s="28" t="s">
        <v>207</v>
      </c>
      <c r="D623" s="33" t="str">
        <f>+IFERROR(VLOOKUP(C623,Data,4,FALSE),"Not in data")</f>
        <v>S</v>
      </c>
      <c r="E623" s="34" t="s">
        <v>149</v>
      </c>
      <c r="F623" s="30">
        <v>1</v>
      </c>
      <c r="G623" s="30">
        <v>1</v>
      </c>
      <c r="H623" s="31">
        <v>6.1</v>
      </c>
      <c r="I623" s="40">
        <f t="shared" si="76"/>
        <v>6.1</v>
      </c>
      <c r="J623" s="31">
        <f>+IFERROR(VLOOKUP(C623,Data,2,FALSE),"Not in weight table")</f>
        <v>4.56</v>
      </c>
      <c r="K623" s="31">
        <f>+IFERROR(VLOOKUP(C623,Data,3,FALSE),"Not in weight table")</f>
        <v>0.255</v>
      </c>
      <c r="L623" s="44">
        <f t="shared" si="77"/>
        <v>0.027816</v>
      </c>
      <c r="M623" s="42">
        <f t="shared" si="78"/>
        <v>1.5555</v>
      </c>
      <c r="N623" s="43" t="s">
        <v>158</v>
      </c>
      <c r="O623" s="43" t="s">
        <v>158</v>
      </c>
      <c r="P623" s="43" t="s">
        <v>158</v>
      </c>
    </row>
    <row r="624" s="11" customFormat="1" spans="1:16">
      <c r="A624" s="32" t="s">
        <v>285</v>
      </c>
      <c r="B624" s="28" t="s">
        <v>206</v>
      </c>
      <c r="C624" s="28" t="s">
        <v>207</v>
      </c>
      <c r="D624" s="33" t="str">
        <f>+IFERROR(VLOOKUP(C624,Data,4,FALSE),"Not in data")</f>
        <v>S</v>
      </c>
      <c r="E624" s="34" t="s">
        <v>149</v>
      </c>
      <c r="F624" s="30">
        <v>1</v>
      </c>
      <c r="G624" s="30">
        <v>1</v>
      </c>
      <c r="H624" s="31">
        <v>6.9</v>
      </c>
      <c r="I624" s="40">
        <f t="shared" si="76"/>
        <v>6.9</v>
      </c>
      <c r="J624" s="31">
        <f>+IFERROR(VLOOKUP(C624,Data,2,FALSE),"Not in weight table")</f>
        <v>4.56</v>
      </c>
      <c r="K624" s="31">
        <f>+IFERROR(VLOOKUP(C624,Data,3,FALSE),"Not in weight table")</f>
        <v>0.255</v>
      </c>
      <c r="L624" s="44">
        <f t="shared" si="77"/>
        <v>0.031464</v>
      </c>
      <c r="M624" s="42">
        <f t="shared" si="78"/>
        <v>1.7595</v>
      </c>
      <c r="N624" s="43" t="s">
        <v>158</v>
      </c>
      <c r="O624" s="43" t="s">
        <v>158</v>
      </c>
      <c r="P624" s="43" t="s">
        <v>158</v>
      </c>
    </row>
    <row r="625" s="11" customFormat="1" spans="1:16">
      <c r="A625" s="32" t="s">
        <v>285</v>
      </c>
      <c r="B625" s="28" t="s">
        <v>206</v>
      </c>
      <c r="C625" s="28" t="s">
        <v>207</v>
      </c>
      <c r="D625" s="33" t="str">
        <f>+IFERROR(VLOOKUP(C625,Data,4,FALSE),"Not in data")</f>
        <v>S</v>
      </c>
      <c r="E625" s="34" t="s">
        <v>149</v>
      </c>
      <c r="F625" s="30">
        <v>1</v>
      </c>
      <c r="G625" s="30">
        <v>1</v>
      </c>
      <c r="H625" s="31">
        <v>6.7</v>
      </c>
      <c r="I625" s="40">
        <f t="shared" si="76"/>
        <v>6.7</v>
      </c>
      <c r="J625" s="31">
        <f>+IFERROR(VLOOKUP(C625,Data,2,FALSE),"Not in weight table")</f>
        <v>4.56</v>
      </c>
      <c r="K625" s="31">
        <f>+IFERROR(VLOOKUP(C625,Data,3,FALSE),"Not in weight table")</f>
        <v>0.255</v>
      </c>
      <c r="L625" s="44">
        <f t="shared" si="77"/>
        <v>0.030552</v>
      </c>
      <c r="M625" s="42">
        <f t="shared" si="78"/>
        <v>1.7085</v>
      </c>
      <c r="N625" s="43" t="s">
        <v>158</v>
      </c>
      <c r="O625" s="43" t="s">
        <v>158</v>
      </c>
      <c r="P625" s="43" t="s">
        <v>158</v>
      </c>
    </row>
    <row r="626" s="11" customFormat="1" spans="1:16">
      <c r="A626" s="32" t="s">
        <v>285</v>
      </c>
      <c r="B626" s="28" t="s">
        <v>206</v>
      </c>
      <c r="C626" s="28" t="s">
        <v>207</v>
      </c>
      <c r="D626" s="33" t="str">
        <f>+IFERROR(VLOOKUP(C626,Data,4,FALSE),"Not in data")</f>
        <v>S</v>
      </c>
      <c r="E626" s="34" t="s">
        <v>149</v>
      </c>
      <c r="F626" s="30">
        <v>1</v>
      </c>
      <c r="G626" s="30">
        <v>1</v>
      </c>
      <c r="H626" s="31">
        <v>5</v>
      </c>
      <c r="I626" s="40">
        <f t="shared" si="76"/>
        <v>5</v>
      </c>
      <c r="J626" s="31">
        <f>+IFERROR(VLOOKUP(C626,Data,2,FALSE),"Not in weight table")</f>
        <v>4.56</v>
      </c>
      <c r="K626" s="31">
        <f>+IFERROR(VLOOKUP(C626,Data,3,FALSE),"Not in weight table")</f>
        <v>0.255</v>
      </c>
      <c r="L626" s="44">
        <f t="shared" si="77"/>
        <v>0.0228</v>
      </c>
      <c r="M626" s="42">
        <f t="shared" si="78"/>
        <v>1.275</v>
      </c>
      <c r="N626" s="43" t="s">
        <v>158</v>
      </c>
      <c r="O626" s="43" t="s">
        <v>158</v>
      </c>
      <c r="P626" s="43" t="s">
        <v>158</v>
      </c>
    </row>
    <row r="627" s="11" customFormat="1" spans="1:16">
      <c r="A627" s="32" t="s">
        <v>285</v>
      </c>
      <c r="B627" s="28" t="s">
        <v>206</v>
      </c>
      <c r="C627" s="28" t="s">
        <v>207</v>
      </c>
      <c r="D627" s="33" t="str">
        <f>+IFERROR(VLOOKUP(C627,Data,4,FALSE),"Not in data")</f>
        <v>S</v>
      </c>
      <c r="E627" s="34" t="s">
        <v>149</v>
      </c>
      <c r="F627" s="30">
        <v>1</v>
      </c>
      <c r="G627" s="30">
        <v>1</v>
      </c>
      <c r="H627" s="31">
        <v>3.6</v>
      </c>
      <c r="I627" s="40">
        <f t="shared" si="76"/>
        <v>3.6</v>
      </c>
      <c r="J627" s="31">
        <f>+IFERROR(VLOOKUP(C627,Data,2,FALSE),"Not in weight table")</f>
        <v>4.56</v>
      </c>
      <c r="K627" s="31">
        <f>+IFERROR(VLOOKUP(C627,Data,3,FALSE),"Not in weight table")</f>
        <v>0.255</v>
      </c>
      <c r="L627" s="44">
        <f t="shared" si="77"/>
        <v>0.016416</v>
      </c>
      <c r="M627" s="42">
        <f t="shared" si="78"/>
        <v>0.918</v>
      </c>
      <c r="N627" s="43" t="s">
        <v>158</v>
      </c>
      <c r="O627" s="43" t="s">
        <v>158</v>
      </c>
      <c r="P627" s="43" t="s">
        <v>158</v>
      </c>
    </row>
    <row r="628" s="11" customFormat="1" spans="1:16">
      <c r="A628" s="32" t="s">
        <v>285</v>
      </c>
      <c r="B628" s="28" t="s">
        <v>206</v>
      </c>
      <c r="C628" s="28" t="s">
        <v>207</v>
      </c>
      <c r="D628" s="33" t="str">
        <f>+IFERROR(VLOOKUP(C628,Data,4,FALSE),"Not in data")</f>
        <v>S</v>
      </c>
      <c r="E628" s="34" t="s">
        <v>149</v>
      </c>
      <c r="F628" s="30">
        <v>1</v>
      </c>
      <c r="G628" s="30">
        <v>1</v>
      </c>
      <c r="H628" s="31">
        <v>8.5</v>
      </c>
      <c r="I628" s="40">
        <f t="shared" si="76"/>
        <v>8.5</v>
      </c>
      <c r="J628" s="31">
        <f>+IFERROR(VLOOKUP(C628,Data,2,FALSE),"Not in weight table")</f>
        <v>4.56</v>
      </c>
      <c r="K628" s="31">
        <f>+IFERROR(VLOOKUP(C628,Data,3,FALSE),"Not in weight table")</f>
        <v>0.255</v>
      </c>
      <c r="L628" s="44">
        <f t="shared" si="77"/>
        <v>0.03876</v>
      </c>
      <c r="M628" s="42">
        <f t="shared" si="78"/>
        <v>2.1675</v>
      </c>
      <c r="N628" s="43" t="s">
        <v>158</v>
      </c>
      <c r="O628" s="43" t="s">
        <v>158</v>
      </c>
      <c r="P628" s="43" t="s">
        <v>158</v>
      </c>
    </row>
    <row r="629" s="11" customFormat="1" spans="1:16">
      <c r="A629" s="32" t="s">
        <v>285</v>
      </c>
      <c r="B629" s="28" t="s">
        <v>206</v>
      </c>
      <c r="C629" s="28" t="s">
        <v>207</v>
      </c>
      <c r="D629" s="33" t="str">
        <f>+IFERROR(VLOOKUP(C629,Data,4,FALSE),"Not in data")</f>
        <v>S</v>
      </c>
      <c r="E629" s="34" t="s">
        <v>149</v>
      </c>
      <c r="F629" s="30">
        <v>1</v>
      </c>
      <c r="G629" s="30">
        <v>1</v>
      </c>
      <c r="H629" s="31">
        <v>8.1</v>
      </c>
      <c r="I629" s="40">
        <f t="shared" si="76"/>
        <v>8.1</v>
      </c>
      <c r="J629" s="31">
        <f>+IFERROR(VLOOKUP(C629,Data,2,FALSE),"Not in weight table")</f>
        <v>4.56</v>
      </c>
      <c r="K629" s="31">
        <f>+IFERROR(VLOOKUP(C629,Data,3,FALSE),"Not in weight table")</f>
        <v>0.255</v>
      </c>
      <c r="L629" s="44">
        <f t="shared" si="77"/>
        <v>0.036936</v>
      </c>
      <c r="M629" s="42">
        <f t="shared" si="78"/>
        <v>2.0655</v>
      </c>
      <c r="N629" s="43" t="s">
        <v>158</v>
      </c>
      <c r="O629" s="43" t="s">
        <v>158</v>
      </c>
      <c r="P629" s="43" t="s">
        <v>158</v>
      </c>
    </row>
    <row r="630" s="11" customFormat="1" spans="1:16">
      <c r="A630" s="32" t="s">
        <v>285</v>
      </c>
      <c r="B630" s="28" t="s">
        <v>206</v>
      </c>
      <c r="C630" s="28" t="s">
        <v>207</v>
      </c>
      <c r="D630" s="33" t="str">
        <f>+IFERROR(VLOOKUP(C630,Data,4,FALSE),"Not in data")</f>
        <v>S</v>
      </c>
      <c r="E630" s="34" t="s">
        <v>149</v>
      </c>
      <c r="F630" s="30">
        <v>1</v>
      </c>
      <c r="G630" s="30">
        <v>1</v>
      </c>
      <c r="H630" s="31">
        <v>9.5</v>
      </c>
      <c r="I630" s="40">
        <f t="shared" si="76"/>
        <v>9.5</v>
      </c>
      <c r="J630" s="31">
        <f>+IFERROR(VLOOKUP(C630,Data,2,FALSE),"Not in weight table")</f>
        <v>4.56</v>
      </c>
      <c r="K630" s="31">
        <f>+IFERROR(VLOOKUP(C630,Data,3,FALSE),"Not in weight table")</f>
        <v>0.255</v>
      </c>
      <c r="L630" s="44">
        <f t="shared" si="77"/>
        <v>0.04332</v>
      </c>
      <c r="M630" s="42">
        <f t="shared" si="78"/>
        <v>2.4225</v>
      </c>
      <c r="N630" s="43" t="s">
        <v>158</v>
      </c>
      <c r="O630" s="43" t="s">
        <v>158</v>
      </c>
      <c r="P630" s="43" t="s">
        <v>158</v>
      </c>
    </row>
    <row r="631" s="11" customFormat="1" spans="1:16">
      <c r="A631" s="32" t="s">
        <v>285</v>
      </c>
      <c r="B631" s="28" t="s">
        <v>206</v>
      </c>
      <c r="C631" s="28" t="s">
        <v>207</v>
      </c>
      <c r="D631" s="33" t="str">
        <f>+IFERROR(VLOOKUP(C631,Data,4,FALSE),"Not in data")</f>
        <v>S</v>
      </c>
      <c r="E631" s="34" t="s">
        <v>149</v>
      </c>
      <c r="F631" s="30">
        <v>1</v>
      </c>
      <c r="G631" s="30">
        <v>1</v>
      </c>
      <c r="H631" s="31">
        <v>8.5</v>
      </c>
      <c r="I631" s="40">
        <f t="shared" si="76"/>
        <v>8.5</v>
      </c>
      <c r="J631" s="31">
        <f>+IFERROR(VLOOKUP(C631,Data,2,FALSE),"Not in weight table")</f>
        <v>4.56</v>
      </c>
      <c r="K631" s="31">
        <f>+IFERROR(VLOOKUP(C631,Data,3,FALSE),"Not in weight table")</f>
        <v>0.255</v>
      </c>
      <c r="L631" s="44">
        <f t="shared" si="77"/>
        <v>0.03876</v>
      </c>
      <c r="M631" s="42">
        <f t="shared" si="78"/>
        <v>2.1675</v>
      </c>
      <c r="N631" s="43" t="s">
        <v>158</v>
      </c>
      <c r="O631" s="43" t="s">
        <v>158</v>
      </c>
      <c r="P631" s="43" t="s">
        <v>158</v>
      </c>
    </row>
    <row r="632" s="11" customFormat="1" spans="1:16">
      <c r="A632" s="32" t="s">
        <v>285</v>
      </c>
      <c r="B632" s="28" t="s">
        <v>206</v>
      </c>
      <c r="C632" s="28" t="s">
        <v>207</v>
      </c>
      <c r="D632" s="33" t="str">
        <f>+IFERROR(VLOOKUP(C632,Data,4,FALSE),"Not in data")</f>
        <v>S</v>
      </c>
      <c r="E632" s="34" t="s">
        <v>149</v>
      </c>
      <c r="F632" s="30">
        <v>1</v>
      </c>
      <c r="G632" s="30">
        <v>2</v>
      </c>
      <c r="H632" s="31">
        <v>10.3</v>
      </c>
      <c r="I632" s="40">
        <f t="shared" si="76"/>
        <v>20.6</v>
      </c>
      <c r="J632" s="31">
        <f>+IFERROR(VLOOKUP(C632,Data,2,FALSE),"Not in weight table")</f>
        <v>4.56</v>
      </c>
      <c r="K632" s="31">
        <f>+IFERROR(VLOOKUP(C632,Data,3,FALSE),"Not in weight table")</f>
        <v>0.255</v>
      </c>
      <c r="L632" s="44">
        <f t="shared" si="77"/>
        <v>0.093936</v>
      </c>
      <c r="M632" s="42">
        <f t="shared" si="78"/>
        <v>5.253</v>
      </c>
      <c r="N632" s="43" t="s">
        <v>158</v>
      </c>
      <c r="O632" s="43" t="s">
        <v>158</v>
      </c>
      <c r="P632" s="43" t="s">
        <v>158</v>
      </c>
    </row>
    <row r="633" s="11" customFormat="1" spans="1:16">
      <c r="A633" s="32" t="s">
        <v>285</v>
      </c>
      <c r="B633" s="28" t="s">
        <v>206</v>
      </c>
      <c r="C633" s="28" t="s">
        <v>207</v>
      </c>
      <c r="D633" s="33" t="str">
        <f>+IFERROR(VLOOKUP(C633,Data,4,FALSE),"Not in data")</f>
        <v>S</v>
      </c>
      <c r="E633" s="34" t="s">
        <v>149</v>
      </c>
      <c r="F633" s="30">
        <v>1</v>
      </c>
      <c r="G633" s="30">
        <v>2</v>
      </c>
      <c r="H633" s="31">
        <v>6.8</v>
      </c>
      <c r="I633" s="40">
        <f t="shared" si="76"/>
        <v>13.6</v>
      </c>
      <c r="J633" s="31">
        <f>+IFERROR(VLOOKUP(C633,Data,2,FALSE),"Not in weight table")</f>
        <v>4.56</v>
      </c>
      <c r="K633" s="31">
        <f>+IFERROR(VLOOKUP(C633,Data,3,FALSE),"Not in weight table")</f>
        <v>0.255</v>
      </c>
      <c r="L633" s="44">
        <f t="shared" si="77"/>
        <v>0.062016</v>
      </c>
      <c r="M633" s="42">
        <f t="shared" si="78"/>
        <v>3.468</v>
      </c>
      <c r="N633" s="43" t="s">
        <v>158</v>
      </c>
      <c r="O633" s="43" t="s">
        <v>158</v>
      </c>
      <c r="P633" s="43" t="s">
        <v>158</v>
      </c>
    </row>
    <row r="634" s="11" customFormat="1" spans="1:16">
      <c r="A634" s="32" t="s">
        <v>285</v>
      </c>
      <c r="B634" s="28" t="s">
        <v>187</v>
      </c>
      <c r="C634" s="28" t="s">
        <v>185</v>
      </c>
      <c r="D634" s="33" t="str">
        <f>+IFERROR(VLOOKUP(C634,Data,4,FALSE),"Not in data")</f>
        <v>Not in data</v>
      </c>
      <c r="E634" s="34" t="s">
        <v>149</v>
      </c>
      <c r="F634" s="30">
        <v>1</v>
      </c>
      <c r="G634" s="30">
        <v>45</v>
      </c>
      <c r="H634" s="31">
        <v>4.6</v>
      </c>
      <c r="I634" s="40">
        <f t="shared" si="76"/>
        <v>207</v>
      </c>
      <c r="J634" s="31" t="str">
        <f>+IFERROR(VLOOKUP(C634,Data,2,FALSE),"Not in weight table")</f>
        <v>Not in weight table</v>
      </c>
      <c r="K634" s="31" t="str">
        <f>+IFERROR(VLOOKUP(C634,Data,3,FALSE),"Not in weight table")</f>
        <v>Not in weight table</v>
      </c>
      <c r="L634" s="44">
        <f t="shared" si="77"/>
        <v>0</v>
      </c>
      <c r="M634" s="42">
        <f t="shared" si="78"/>
        <v>0</v>
      </c>
      <c r="N634" s="43" t="s">
        <v>158</v>
      </c>
      <c r="O634" s="43" t="s">
        <v>158</v>
      </c>
      <c r="P634" s="43" t="s">
        <v>158</v>
      </c>
    </row>
    <row r="635" s="11" customFormat="1" spans="1:16">
      <c r="A635" s="32" t="s">
        <v>285</v>
      </c>
      <c r="B635" s="28" t="s">
        <v>187</v>
      </c>
      <c r="C635" s="28" t="s">
        <v>185</v>
      </c>
      <c r="D635" s="33" t="str">
        <f>+IFERROR(VLOOKUP(C635,Data,4,FALSE),"Not in data")</f>
        <v>Not in data</v>
      </c>
      <c r="E635" s="34" t="s">
        <v>149</v>
      </c>
      <c r="F635" s="30">
        <v>1</v>
      </c>
      <c r="G635" s="30">
        <v>45</v>
      </c>
      <c r="H635" s="31">
        <v>3.25</v>
      </c>
      <c r="I635" s="40">
        <f t="shared" si="76"/>
        <v>146.25</v>
      </c>
      <c r="J635" s="31" t="str">
        <f>+IFERROR(VLOOKUP(C635,Data,2,FALSE),"Not in weight table")</f>
        <v>Not in weight table</v>
      </c>
      <c r="K635" s="31" t="str">
        <f>+IFERROR(VLOOKUP(C635,Data,3,FALSE),"Not in weight table")</f>
        <v>Not in weight table</v>
      </c>
      <c r="L635" s="44">
        <f t="shared" si="77"/>
        <v>0</v>
      </c>
      <c r="M635" s="42">
        <f t="shared" si="78"/>
        <v>0</v>
      </c>
      <c r="N635" s="43" t="s">
        <v>158</v>
      </c>
      <c r="O635" s="43" t="s">
        <v>158</v>
      </c>
      <c r="P635" s="43" t="s">
        <v>158</v>
      </c>
    </row>
    <row r="636" s="11" customFormat="1" spans="1:16">
      <c r="A636" s="32" t="s">
        <v>285</v>
      </c>
      <c r="B636" s="28" t="s">
        <v>191</v>
      </c>
      <c r="C636" s="28" t="s">
        <v>282</v>
      </c>
      <c r="D636" s="33" t="str">
        <f>+IFERROR(VLOOKUP(C636,Data,4,FALSE),"Not in data")</f>
        <v>Not in data</v>
      </c>
      <c r="E636" s="34" t="s">
        <v>149</v>
      </c>
      <c r="F636" s="30">
        <v>1</v>
      </c>
      <c r="G636" s="30">
        <v>18</v>
      </c>
      <c r="H636" s="31">
        <v>2.1</v>
      </c>
      <c r="I636" s="40">
        <f t="shared" si="76"/>
        <v>37.8</v>
      </c>
      <c r="J636" s="31" t="str">
        <f>+IFERROR(VLOOKUP(C636,Data,2,FALSE),"Not in weight table")</f>
        <v>Not in weight table</v>
      </c>
      <c r="K636" s="31" t="str">
        <f>+IFERROR(VLOOKUP(C636,Data,3,FALSE),"Not in weight table")</f>
        <v>Not in weight table</v>
      </c>
      <c r="L636" s="44">
        <f t="shared" si="77"/>
        <v>0</v>
      </c>
      <c r="M636" s="42">
        <f t="shared" si="78"/>
        <v>0</v>
      </c>
      <c r="N636" s="43" t="s">
        <v>158</v>
      </c>
      <c r="O636" s="43" t="s">
        <v>158</v>
      </c>
      <c r="P636" s="43" t="s">
        <v>158</v>
      </c>
    </row>
    <row r="637" s="11" customFormat="1" spans="1:16">
      <c r="A637" s="32" t="s">
        <v>285</v>
      </c>
      <c r="B637" s="28" t="s">
        <v>191</v>
      </c>
      <c r="C637" s="28" t="s">
        <v>282</v>
      </c>
      <c r="D637" s="33" t="str">
        <f>+IFERROR(VLOOKUP(C637,Data,4,FALSE),"Not in data")</f>
        <v>Not in data</v>
      </c>
      <c r="E637" s="34" t="s">
        <v>149</v>
      </c>
      <c r="F637" s="30">
        <v>1</v>
      </c>
      <c r="G637" s="30">
        <v>18</v>
      </c>
      <c r="H637" s="31">
        <v>2.1</v>
      </c>
      <c r="I637" s="40">
        <f t="shared" si="76"/>
        <v>37.8</v>
      </c>
      <c r="J637" s="31" t="str">
        <f>+IFERROR(VLOOKUP(C637,Data,2,FALSE),"Not in weight table")</f>
        <v>Not in weight table</v>
      </c>
      <c r="K637" s="31" t="str">
        <f>+IFERROR(VLOOKUP(C637,Data,3,FALSE),"Not in weight table")</f>
        <v>Not in weight table</v>
      </c>
      <c r="L637" s="44">
        <f t="shared" si="77"/>
        <v>0</v>
      </c>
      <c r="M637" s="42">
        <f t="shared" si="78"/>
        <v>0</v>
      </c>
      <c r="N637" s="43" t="s">
        <v>158</v>
      </c>
      <c r="O637" s="43" t="s">
        <v>158</v>
      </c>
      <c r="P637" s="43" t="s">
        <v>158</v>
      </c>
    </row>
    <row r="638" s="11" customFormat="1" spans="1:16">
      <c r="A638" s="32" t="s">
        <v>285</v>
      </c>
      <c r="B638" s="28" t="s">
        <v>224</v>
      </c>
      <c r="C638" s="28" t="s">
        <v>225</v>
      </c>
      <c r="D638" s="33" t="str">
        <f>+IFERROR(VLOOKUP(C638,Data,4,FALSE),"Not in data")</f>
        <v>T</v>
      </c>
      <c r="E638" s="34" t="s">
        <v>149</v>
      </c>
      <c r="F638" s="30">
        <v>1</v>
      </c>
      <c r="G638" s="30">
        <v>6</v>
      </c>
      <c r="H638" s="31">
        <v>4.6</v>
      </c>
      <c r="I638" s="40">
        <f t="shared" si="76"/>
        <v>27.6</v>
      </c>
      <c r="J638" s="31">
        <f>+IFERROR(VLOOKUP(C638,Data,2,FALSE),"Not in weight table")</f>
        <v>26.2</v>
      </c>
      <c r="K638" s="31">
        <f>+IFERROR(VLOOKUP(C638,Data,3,FALSE),"Not in weight table")</f>
        <v>0.574</v>
      </c>
      <c r="L638" s="44">
        <f t="shared" si="77"/>
        <v>0.72312</v>
      </c>
      <c r="M638" s="42">
        <f t="shared" si="78"/>
        <v>15.8424</v>
      </c>
      <c r="N638" s="43" t="s">
        <v>158</v>
      </c>
      <c r="O638" s="43" t="s">
        <v>158</v>
      </c>
      <c r="P638" s="43" t="s">
        <v>158</v>
      </c>
    </row>
    <row r="639" s="11" customFormat="1" spans="1:16">
      <c r="A639" s="32" t="s">
        <v>285</v>
      </c>
      <c r="B639" s="28" t="s">
        <v>193</v>
      </c>
      <c r="C639" s="28" t="s">
        <v>194</v>
      </c>
      <c r="D639" s="33" t="s">
        <v>136</v>
      </c>
      <c r="E639" s="34" t="s">
        <v>149</v>
      </c>
      <c r="F639" s="30">
        <v>1</v>
      </c>
      <c r="G639" s="30">
        <v>1</v>
      </c>
      <c r="H639" s="31">
        <v>4.3</v>
      </c>
      <c r="I639" s="40">
        <v>16.8</v>
      </c>
      <c r="J639" s="31" t="s">
        <v>283</v>
      </c>
      <c r="K639" s="31" t="s">
        <v>283</v>
      </c>
      <c r="L639" s="44">
        <v>0</v>
      </c>
      <c r="M639" s="42">
        <v>0</v>
      </c>
      <c r="N639" s="43" t="s">
        <v>158</v>
      </c>
      <c r="O639" s="43" t="s">
        <v>158</v>
      </c>
      <c r="P639" s="43" t="s">
        <v>158</v>
      </c>
    </row>
    <row r="640" s="11" customFormat="1" spans="1:16">
      <c r="A640" s="32" t="s">
        <v>285</v>
      </c>
      <c r="B640" s="28" t="s">
        <v>193</v>
      </c>
      <c r="C640" s="28" t="s">
        <v>194</v>
      </c>
      <c r="D640" s="33" t="s">
        <v>136</v>
      </c>
      <c r="E640" s="34" t="s">
        <v>149</v>
      </c>
      <c r="F640" s="30">
        <v>1</v>
      </c>
      <c r="G640" s="30">
        <v>1</v>
      </c>
      <c r="H640" s="31">
        <v>3.2</v>
      </c>
      <c r="I640" s="40">
        <v>16.8</v>
      </c>
      <c r="J640" s="31" t="s">
        <v>283</v>
      </c>
      <c r="K640" s="31" t="s">
        <v>283</v>
      </c>
      <c r="L640" s="44">
        <v>0</v>
      </c>
      <c r="M640" s="42">
        <v>0</v>
      </c>
      <c r="N640" s="43" t="s">
        <v>158</v>
      </c>
      <c r="O640" s="43" t="s">
        <v>158</v>
      </c>
      <c r="P640" s="43" t="s">
        <v>158</v>
      </c>
    </row>
    <row r="641" s="11" customFormat="1" spans="1:16">
      <c r="A641" s="32" t="s">
        <v>285</v>
      </c>
      <c r="B641" s="28" t="s">
        <v>193</v>
      </c>
      <c r="C641" s="28" t="s">
        <v>194</v>
      </c>
      <c r="D641" s="33" t="s">
        <v>136</v>
      </c>
      <c r="E641" s="34" t="s">
        <v>149</v>
      </c>
      <c r="F641" s="30">
        <v>1</v>
      </c>
      <c r="G641" s="30">
        <v>1</v>
      </c>
      <c r="H641" s="31">
        <v>10.3</v>
      </c>
      <c r="I641" s="40">
        <v>16.8</v>
      </c>
      <c r="J641" s="31" t="s">
        <v>283</v>
      </c>
      <c r="K641" s="31" t="s">
        <v>283</v>
      </c>
      <c r="L641" s="44">
        <v>0</v>
      </c>
      <c r="M641" s="42">
        <v>0</v>
      </c>
      <c r="N641" s="43" t="s">
        <v>158</v>
      </c>
      <c r="O641" s="43" t="s">
        <v>158</v>
      </c>
      <c r="P641" s="43" t="s">
        <v>158</v>
      </c>
    </row>
    <row r="642" s="11" customFormat="1" spans="1:16">
      <c r="A642" s="32" t="s">
        <v>285</v>
      </c>
      <c r="B642" s="28" t="s">
        <v>193</v>
      </c>
      <c r="C642" s="28" t="s">
        <v>194</v>
      </c>
      <c r="D642" s="33" t="s">
        <v>136</v>
      </c>
      <c r="E642" s="34" t="s">
        <v>149</v>
      </c>
      <c r="F642" s="30">
        <v>1</v>
      </c>
      <c r="G642" s="30">
        <v>1</v>
      </c>
      <c r="H642" s="31">
        <v>7.6</v>
      </c>
      <c r="I642" s="40">
        <v>16.8</v>
      </c>
      <c r="J642" s="31" t="s">
        <v>283</v>
      </c>
      <c r="K642" s="31" t="s">
        <v>283</v>
      </c>
      <c r="L642" s="44">
        <v>0</v>
      </c>
      <c r="M642" s="42">
        <v>0</v>
      </c>
      <c r="N642" s="43" t="s">
        <v>158</v>
      </c>
      <c r="O642" s="43" t="s">
        <v>158</v>
      </c>
      <c r="P642" s="43" t="s">
        <v>158</v>
      </c>
    </row>
    <row r="643" s="11" customFormat="1" spans="1:16">
      <c r="A643" s="32" t="s">
        <v>285</v>
      </c>
      <c r="B643" s="28" t="s">
        <v>193</v>
      </c>
      <c r="C643" s="28" t="s">
        <v>194</v>
      </c>
      <c r="D643" s="33" t="s">
        <v>136</v>
      </c>
      <c r="E643" s="34" t="s">
        <v>149</v>
      </c>
      <c r="F643" s="30">
        <v>1</v>
      </c>
      <c r="G643" s="30">
        <v>1</v>
      </c>
      <c r="H643" s="31">
        <v>3.8</v>
      </c>
      <c r="I643" s="40">
        <v>16.8</v>
      </c>
      <c r="J643" s="31" t="s">
        <v>283</v>
      </c>
      <c r="K643" s="31" t="s">
        <v>283</v>
      </c>
      <c r="L643" s="44">
        <v>0</v>
      </c>
      <c r="M643" s="42">
        <v>0</v>
      </c>
      <c r="N643" s="43" t="s">
        <v>158</v>
      </c>
      <c r="O643" s="43" t="s">
        <v>158</v>
      </c>
      <c r="P643" s="43" t="s">
        <v>158</v>
      </c>
    </row>
    <row r="644" s="11" customFormat="1" spans="1:16">
      <c r="A644" s="32" t="s">
        <v>285</v>
      </c>
      <c r="B644" s="28" t="s">
        <v>193</v>
      </c>
      <c r="C644" s="28" t="s">
        <v>194</v>
      </c>
      <c r="D644" s="33" t="s">
        <v>136</v>
      </c>
      <c r="E644" s="34" t="s">
        <v>149</v>
      </c>
      <c r="F644" s="30">
        <v>1</v>
      </c>
      <c r="G644" s="30">
        <v>1</v>
      </c>
      <c r="H644" s="31">
        <v>7.5</v>
      </c>
      <c r="I644" s="40">
        <v>16.8</v>
      </c>
      <c r="J644" s="31" t="s">
        <v>283</v>
      </c>
      <c r="K644" s="31" t="s">
        <v>283</v>
      </c>
      <c r="L644" s="44">
        <v>0</v>
      </c>
      <c r="M644" s="42">
        <v>0</v>
      </c>
      <c r="N644" s="43" t="s">
        <v>158</v>
      </c>
      <c r="O644" s="43" t="s">
        <v>158</v>
      </c>
      <c r="P644" s="43" t="s">
        <v>158</v>
      </c>
    </row>
    <row r="645" s="11" customFormat="1" spans="1:16">
      <c r="A645" s="32" t="s">
        <v>285</v>
      </c>
      <c r="B645" s="28" t="s">
        <v>193</v>
      </c>
      <c r="C645" s="28" t="s">
        <v>194</v>
      </c>
      <c r="D645" s="33" t="s">
        <v>136</v>
      </c>
      <c r="E645" s="34" t="s">
        <v>149</v>
      </c>
      <c r="F645" s="30">
        <v>1</v>
      </c>
      <c r="G645" s="30">
        <v>1</v>
      </c>
      <c r="H645" s="31">
        <v>3.7</v>
      </c>
      <c r="I645" s="40">
        <v>16.8</v>
      </c>
      <c r="J645" s="31" t="s">
        <v>283</v>
      </c>
      <c r="K645" s="31" t="s">
        <v>283</v>
      </c>
      <c r="L645" s="44">
        <v>0</v>
      </c>
      <c r="M645" s="42">
        <v>0</v>
      </c>
      <c r="N645" s="43" t="s">
        <v>158</v>
      </c>
      <c r="O645" s="43" t="s">
        <v>158</v>
      </c>
      <c r="P645" s="43" t="s">
        <v>158</v>
      </c>
    </row>
    <row r="646" s="11" customFormat="1" spans="1:16">
      <c r="A646" s="32" t="s">
        <v>285</v>
      </c>
      <c r="B646" s="28" t="s">
        <v>193</v>
      </c>
      <c r="C646" s="28" t="s">
        <v>194</v>
      </c>
      <c r="D646" s="33" t="s">
        <v>136</v>
      </c>
      <c r="E646" s="34" t="s">
        <v>149</v>
      </c>
      <c r="F646" s="30">
        <v>1</v>
      </c>
      <c r="G646" s="30">
        <v>1</v>
      </c>
      <c r="H646" s="31">
        <v>7.6</v>
      </c>
      <c r="I646" s="40">
        <v>16.8</v>
      </c>
      <c r="J646" s="31" t="s">
        <v>283</v>
      </c>
      <c r="K646" s="31" t="s">
        <v>283</v>
      </c>
      <c r="L646" s="44">
        <v>0</v>
      </c>
      <c r="M646" s="42">
        <v>0</v>
      </c>
      <c r="N646" s="43" t="s">
        <v>158</v>
      </c>
      <c r="O646" s="43" t="s">
        <v>158</v>
      </c>
      <c r="P646" s="43" t="s">
        <v>158</v>
      </c>
    </row>
    <row r="647" s="11" customFormat="1" spans="1:16">
      <c r="A647" s="32" t="s">
        <v>285</v>
      </c>
      <c r="B647" s="28" t="s">
        <v>193</v>
      </c>
      <c r="C647" s="28" t="s">
        <v>194</v>
      </c>
      <c r="D647" s="33" t="s">
        <v>136</v>
      </c>
      <c r="E647" s="34" t="s">
        <v>149</v>
      </c>
      <c r="F647" s="30">
        <v>1</v>
      </c>
      <c r="G647" s="30">
        <v>1</v>
      </c>
      <c r="H647" s="31">
        <v>3.9</v>
      </c>
      <c r="I647" s="40">
        <v>16.8</v>
      </c>
      <c r="J647" s="31" t="s">
        <v>283</v>
      </c>
      <c r="K647" s="31" t="s">
        <v>283</v>
      </c>
      <c r="L647" s="44">
        <v>0</v>
      </c>
      <c r="M647" s="42">
        <v>0</v>
      </c>
      <c r="N647" s="43" t="s">
        <v>158</v>
      </c>
      <c r="O647" s="43" t="s">
        <v>158</v>
      </c>
      <c r="P647" s="43" t="s">
        <v>158</v>
      </c>
    </row>
    <row r="648" s="11" customFormat="1" spans="1:16">
      <c r="A648" s="32" t="s">
        <v>285</v>
      </c>
      <c r="B648" s="28" t="s">
        <v>193</v>
      </c>
      <c r="C648" s="28" t="s">
        <v>194</v>
      </c>
      <c r="D648" s="33" t="s">
        <v>136</v>
      </c>
      <c r="E648" s="34" t="s">
        <v>149</v>
      </c>
      <c r="F648" s="30">
        <v>1</v>
      </c>
      <c r="G648" s="30">
        <v>1</v>
      </c>
      <c r="H648" s="31">
        <v>7.7</v>
      </c>
      <c r="I648" s="40">
        <v>16.8</v>
      </c>
      <c r="J648" s="31" t="s">
        <v>283</v>
      </c>
      <c r="K648" s="31" t="s">
        <v>283</v>
      </c>
      <c r="L648" s="44">
        <v>0</v>
      </c>
      <c r="M648" s="42">
        <v>0</v>
      </c>
      <c r="N648" s="43" t="s">
        <v>158</v>
      </c>
      <c r="O648" s="43" t="s">
        <v>158</v>
      </c>
      <c r="P648" s="43" t="s">
        <v>158</v>
      </c>
    </row>
    <row r="649" s="11" customFormat="1" spans="1:16">
      <c r="A649" s="32" t="s">
        <v>285</v>
      </c>
      <c r="B649" s="28" t="s">
        <v>193</v>
      </c>
      <c r="C649" s="28" t="s">
        <v>194</v>
      </c>
      <c r="D649" s="33" t="s">
        <v>136</v>
      </c>
      <c r="E649" s="34" t="s">
        <v>149</v>
      </c>
      <c r="F649" s="30">
        <v>1</v>
      </c>
      <c r="G649" s="30">
        <v>1</v>
      </c>
      <c r="H649" s="31">
        <v>3.4</v>
      </c>
      <c r="I649" s="40">
        <v>16.8</v>
      </c>
      <c r="J649" s="31" t="s">
        <v>283</v>
      </c>
      <c r="K649" s="31" t="s">
        <v>283</v>
      </c>
      <c r="L649" s="44">
        <v>0</v>
      </c>
      <c r="M649" s="42">
        <v>0</v>
      </c>
      <c r="N649" s="43" t="s">
        <v>158</v>
      </c>
      <c r="O649" s="43" t="s">
        <v>158</v>
      </c>
      <c r="P649" s="43" t="s">
        <v>158</v>
      </c>
    </row>
    <row r="650" s="11" customFormat="1" spans="1:16">
      <c r="A650" s="32" t="s">
        <v>285</v>
      </c>
      <c r="B650" s="28" t="s">
        <v>193</v>
      </c>
      <c r="C650" s="28" t="s">
        <v>194</v>
      </c>
      <c r="D650" s="33" t="s">
        <v>136</v>
      </c>
      <c r="E650" s="34" t="s">
        <v>149</v>
      </c>
      <c r="F650" s="30">
        <v>1</v>
      </c>
      <c r="G650" s="30">
        <v>1</v>
      </c>
      <c r="H650" s="31">
        <v>2.3</v>
      </c>
      <c r="I650" s="40">
        <v>16.8</v>
      </c>
      <c r="J650" s="31" t="s">
        <v>283</v>
      </c>
      <c r="K650" s="31" t="s">
        <v>283</v>
      </c>
      <c r="L650" s="44">
        <v>0</v>
      </c>
      <c r="M650" s="42">
        <v>0</v>
      </c>
      <c r="N650" s="43" t="s">
        <v>158</v>
      </c>
      <c r="O650" s="43" t="s">
        <v>158</v>
      </c>
      <c r="P650" s="43" t="s">
        <v>158</v>
      </c>
    </row>
    <row r="651" s="11" customFormat="1" spans="1:16">
      <c r="A651" s="32" t="s">
        <v>285</v>
      </c>
      <c r="B651" s="28" t="s">
        <v>193</v>
      </c>
      <c r="C651" s="28" t="s">
        <v>194</v>
      </c>
      <c r="D651" s="33" t="s">
        <v>136</v>
      </c>
      <c r="E651" s="34" t="s">
        <v>149</v>
      </c>
      <c r="F651" s="30">
        <v>1</v>
      </c>
      <c r="G651" s="30">
        <v>2</v>
      </c>
      <c r="H651" s="31">
        <v>3.6</v>
      </c>
      <c r="I651" s="40">
        <v>16.8</v>
      </c>
      <c r="J651" s="31" t="s">
        <v>283</v>
      </c>
      <c r="K651" s="31" t="s">
        <v>283</v>
      </c>
      <c r="L651" s="44">
        <v>0</v>
      </c>
      <c r="M651" s="42">
        <v>0</v>
      </c>
      <c r="N651" s="43" t="s">
        <v>158</v>
      </c>
      <c r="O651" s="43" t="s">
        <v>158</v>
      </c>
      <c r="P651" s="43" t="s">
        <v>158</v>
      </c>
    </row>
    <row r="652" s="11" customFormat="1" spans="1:16">
      <c r="A652" s="32" t="s">
        <v>285</v>
      </c>
      <c r="B652" s="28" t="s">
        <v>199</v>
      </c>
      <c r="C652" s="28" t="s">
        <v>200</v>
      </c>
      <c r="D652" s="33" t="str">
        <f>+IFERROR(VLOOKUP(C652,Data,4,FALSE),"Not in data")</f>
        <v>Not in data</v>
      </c>
      <c r="E652" s="34" t="s">
        <v>149</v>
      </c>
      <c r="F652" s="30">
        <v>1</v>
      </c>
      <c r="G652" s="30">
        <v>2</v>
      </c>
      <c r="H652" s="31">
        <v>5.8</v>
      </c>
      <c r="I652" s="40">
        <f t="shared" ref="I652:I710" si="79">+IF(F652&lt;&gt;"",F652*G652*H652,0)</f>
        <v>11.6</v>
      </c>
      <c r="J652" s="31" t="str">
        <f>+IFERROR(VLOOKUP(C652,Data,2,FALSE),"Not in weight table")</f>
        <v>Not in weight table</v>
      </c>
      <c r="K652" s="31" t="str">
        <f>+IFERROR(VLOOKUP(C652,Data,3,FALSE),"Not in weight table")</f>
        <v>Not in weight table</v>
      </c>
      <c r="L652" s="44">
        <f t="shared" ref="L652:L710" si="80">+IF(ISNUMBER(J652),I652*J652/1000,0)</f>
        <v>0</v>
      </c>
      <c r="M652" s="42">
        <f t="shared" ref="M652:M710" si="81">+IF(ISNUMBER(K652),I652*K652,0)</f>
        <v>0</v>
      </c>
      <c r="N652" s="43" t="s">
        <v>158</v>
      </c>
      <c r="O652" s="43" t="s">
        <v>158</v>
      </c>
      <c r="P652" s="43" t="s">
        <v>158</v>
      </c>
    </row>
    <row r="653" s="11" customFormat="1" spans="1:16">
      <c r="A653" s="32" t="s">
        <v>285</v>
      </c>
      <c r="B653" s="28" t="s">
        <v>199</v>
      </c>
      <c r="C653" s="28" t="s">
        <v>200</v>
      </c>
      <c r="D653" s="33" t="str">
        <f>+IFERROR(VLOOKUP(C653,Data,4,FALSE),"Not in data")</f>
        <v>Not in data</v>
      </c>
      <c r="E653" s="34" t="s">
        <v>149</v>
      </c>
      <c r="F653" s="30">
        <v>1</v>
      </c>
      <c r="G653" s="30">
        <v>1</v>
      </c>
      <c r="H653" s="31">
        <v>3.2</v>
      </c>
      <c r="I653" s="40">
        <f t="shared" si="79"/>
        <v>3.2</v>
      </c>
      <c r="J653" s="31" t="str">
        <f>+IFERROR(VLOOKUP(C653,Data,2,FALSE),"Not in weight table")</f>
        <v>Not in weight table</v>
      </c>
      <c r="K653" s="31" t="str">
        <f>+IFERROR(VLOOKUP(C653,Data,3,FALSE),"Not in weight table")</f>
        <v>Not in weight table</v>
      </c>
      <c r="L653" s="44">
        <f t="shared" si="80"/>
        <v>0</v>
      </c>
      <c r="M653" s="42">
        <f t="shared" si="81"/>
        <v>0</v>
      </c>
      <c r="N653" s="43" t="s">
        <v>158</v>
      </c>
      <c r="O653" s="43" t="s">
        <v>158</v>
      </c>
      <c r="P653" s="43" t="s">
        <v>158</v>
      </c>
    </row>
    <row r="654" s="11" customFormat="1" spans="1:16">
      <c r="A654" s="32" t="s">
        <v>285</v>
      </c>
      <c r="B654" s="28" t="s">
        <v>199</v>
      </c>
      <c r="C654" s="28" t="s">
        <v>200</v>
      </c>
      <c r="D654" s="33" t="str">
        <f>+IFERROR(VLOOKUP(C654,Data,4,FALSE),"Not in data")</f>
        <v>Not in data</v>
      </c>
      <c r="E654" s="34" t="s">
        <v>149</v>
      </c>
      <c r="F654" s="30">
        <v>1</v>
      </c>
      <c r="G654" s="30">
        <v>1</v>
      </c>
      <c r="H654" s="31">
        <v>3.5</v>
      </c>
      <c r="I654" s="40">
        <f t="shared" si="79"/>
        <v>3.5</v>
      </c>
      <c r="J654" s="31" t="str">
        <f>+IFERROR(VLOOKUP(C654,Data,2,FALSE),"Not in weight table")</f>
        <v>Not in weight table</v>
      </c>
      <c r="K654" s="31" t="str">
        <f>+IFERROR(VLOOKUP(C654,Data,3,FALSE),"Not in weight table")</f>
        <v>Not in weight table</v>
      </c>
      <c r="L654" s="44">
        <f t="shared" si="80"/>
        <v>0</v>
      </c>
      <c r="M654" s="42">
        <f t="shared" si="81"/>
        <v>0</v>
      </c>
      <c r="N654" s="43" t="s">
        <v>158</v>
      </c>
      <c r="O654" s="43" t="s">
        <v>158</v>
      </c>
      <c r="P654" s="43" t="s">
        <v>158</v>
      </c>
    </row>
    <row r="655" s="11" customFormat="1" spans="1:16">
      <c r="A655" s="32" t="s">
        <v>285</v>
      </c>
      <c r="B655" s="28" t="s">
        <v>199</v>
      </c>
      <c r="C655" s="28" t="s">
        <v>200</v>
      </c>
      <c r="D655" s="33" t="str">
        <f>+IFERROR(VLOOKUP(C655,Data,4,FALSE),"Not in data")</f>
        <v>Not in data</v>
      </c>
      <c r="E655" s="34" t="s">
        <v>149</v>
      </c>
      <c r="F655" s="30">
        <v>1</v>
      </c>
      <c r="G655" s="30">
        <v>1</v>
      </c>
      <c r="H655" s="31">
        <v>3.1</v>
      </c>
      <c r="I655" s="40">
        <f t="shared" si="79"/>
        <v>3.1</v>
      </c>
      <c r="J655" s="31" t="str">
        <f>+IFERROR(VLOOKUP(C655,Data,2,FALSE),"Not in weight table")</f>
        <v>Not in weight table</v>
      </c>
      <c r="K655" s="31" t="str">
        <f>+IFERROR(VLOOKUP(C655,Data,3,FALSE),"Not in weight table")</f>
        <v>Not in weight table</v>
      </c>
      <c r="L655" s="44">
        <f t="shared" si="80"/>
        <v>0</v>
      </c>
      <c r="M655" s="42">
        <f t="shared" si="81"/>
        <v>0</v>
      </c>
      <c r="N655" s="43" t="s">
        <v>158</v>
      </c>
      <c r="O655" s="43" t="s">
        <v>158</v>
      </c>
      <c r="P655" s="43" t="s">
        <v>158</v>
      </c>
    </row>
    <row r="656" s="11" customFormat="1" spans="1:16">
      <c r="A656" s="32" t="s">
        <v>285</v>
      </c>
      <c r="B656" s="28" t="s">
        <v>199</v>
      </c>
      <c r="C656" s="28" t="s">
        <v>200</v>
      </c>
      <c r="D656" s="33" t="str">
        <f>+IFERROR(VLOOKUP(C656,Data,4,FALSE),"Not in data")</f>
        <v>Not in data</v>
      </c>
      <c r="E656" s="34" t="s">
        <v>149</v>
      </c>
      <c r="F656" s="30">
        <v>1</v>
      </c>
      <c r="G656" s="30">
        <v>1</v>
      </c>
      <c r="H656" s="31">
        <v>7.4</v>
      </c>
      <c r="I656" s="40">
        <f t="shared" si="79"/>
        <v>7.4</v>
      </c>
      <c r="J656" s="31" t="str">
        <f>+IFERROR(VLOOKUP(C656,Data,2,FALSE),"Not in weight table")</f>
        <v>Not in weight table</v>
      </c>
      <c r="K656" s="31" t="str">
        <f>+IFERROR(VLOOKUP(C656,Data,3,FALSE),"Not in weight table")</f>
        <v>Not in weight table</v>
      </c>
      <c r="L656" s="44">
        <f t="shared" si="80"/>
        <v>0</v>
      </c>
      <c r="M656" s="42">
        <f t="shared" si="81"/>
        <v>0</v>
      </c>
      <c r="N656" s="43" t="s">
        <v>158</v>
      </c>
      <c r="O656" s="43" t="s">
        <v>158</v>
      </c>
      <c r="P656" s="43" t="s">
        <v>158</v>
      </c>
    </row>
    <row r="657" s="11" customFormat="1" spans="1:16">
      <c r="A657" s="32" t="s">
        <v>285</v>
      </c>
      <c r="B657" s="28" t="s">
        <v>199</v>
      </c>
      <c r="C657" s="28" t="s">
        <v>200</v>
      </c>
      <c r="D657" s="33" t="str">
        <f>+IFERROR(VLOOKUP(C657,Data,4,FALSE),"Not in data")</f>
        <v>Not in data</v>
      </c>
      <c r="E657" s="34" t="s">
        <v>149</v>
      </c>
      <c r="F657" s="30">
        <v>1</v>
      </c>
      <c r="G657" s="30">
        <v>3</v>
      </c>
      <c r="H657" s="31">
        <v>3.8</v>
      </c>
      <c r="I657" s="40">
        <f t="shared" si="79"/>
        <v>11.4</v>
      </c>
      <c r="J657" s="31" t="str">
        <f>+IFERROR(VLOOKUP(C657,Data,2,FALSE),"Not in weight table")</f>
        <v>Not in weight table</v>
      </c>
      <c r="K657" s="31" t="str">
        <f>+IFERROR(VLOOKUP(C657,Data,3,FALSE),"Not in weight table")</f>
        <v>Not in weight table</v>
      </c>
      <c r="L657" s="44">
        <f t="shared" si="80"/>
        <v>0</v>
      </c>
      <c r="M657" s="42">
        <f t="shared" si="81"/>
        <v>0</v>
      </c>
      <c r="N657" s="43" t="s">
        <v>158</v>
      </c>
      <c r="O657" s="43" t="s">
        <v>158</v>
      </c>
      <c r="P657" s="43" t="s">
        <v>158</v>
      </c>
    </row>
    <row r="658" s="11" customFormat="1" spans="1:16">
      <c r="A658" s="32" t="s">
        <v>285</v>
      </c>
      <c r="B658" s="28" t="s">
        <v>199</v>
      </c>
      <c r="C658" s="28" t="s">
        <v>200</v>
      </c>
      <c r="D658" s="33" t="str">
        <f>+IFERROR(VLOOKUP(C658,Data,4,FALSE),"Not in data")</f>
        <v>Not in data</v>
      </c>
      <c r="E658" s="34" t="s">
        <v>149</v>
      </c>
      <c r="F658" s="30">
        <v>1</v>
      </c>
      <c r="G658" s="30">
        <v>1</v>
      </c>
      <c r="H658" s="31">
        <v>2.1</v>
      </c>
      <c r="I658" s="40">
        <f t="shared" si="79"/>
        <v>2.1</v>
      </c>
      <c r="J658" s="31" t="str">
        <f>+IFERROR(VLOOKUP(C658,Data,2,FALSE),"Not in weight table")</f>
        <v>Not in weight table</v>
      </c>
      <c r="K658" s="31" t="str">
        <f>+IFERROR(VLOOKUP(C658,Data,3,FALSE),"Not in weight table")</f>
        <v>Not in weight table</v>
      </c>
      <c r="L658" s="44">
        <f t="shared" si="80"/>
        <v>0</v>
      </c>
      <c r="M658" s="42">
        <f t="shared" si="81"/>
        <v>0</v>
      </c>
      <c r="N658" s="43" t="s">
        <v>158</v>
      </c>
      <c r="O658" s="43" t="s">
        <v>158</v>
      </c>
      <c r="P658" s="43" t="s">
        <v>158</v>
      </c>
    </row>
    <row r="659" s="11" customFormat="1" spans="1:16">
      <c r="A659" s="32" t="s">
        <v>285</v>
      </c>
      <c r="B659" s="28" t="s">
        <v>184</v>
      </c>
      <c r="C659" s="28" t="s">
        <v>185</v>
      </c>
      <c r="D659" s="33" t="str">
        <f>+IFERROR(VLOOKUP(C659,Data,4,FALSE),"Not in data")</f>
        <v>Not in data</v>
      </c>
      <c r="E659" s="34" t="s">
        <v>149</v>
      </c>
      <c r="F659" s="30">
        <v>1</v>
      </c>
      <c r="G659" s="30">
        <v>30</v>
      </c>
      <c r="H659" s="31">
        <v>4.6</v>
      </c>
      <c r="I659" s="40">
        <f t="shared" si="79"/>
        <v>138</v>
      </c>
      <c r="J659" s="31" t="str">
        <f>+IFERROR(VLOOKUP(C659,Data,2,FALSE),"Not in weight table")</f>
        <v>Not in weight table</v>
      </c>
      <c r="K659" s="31" t="str">
        <f>+IFERROR(VLOOKUP(C659,Data,3,FALSE),"Not in weight table")</f>
        <v>Not in weight table</v>
      </c>
      <c r="L659" s="44">
        <f t="shared" si="80"/>
        <v>0</v>
      </c>
      <c r="M659" s="42">
        <f t="shared" si="81"/>
        <v>0</v>
      </c>
      <c r="N659" s="43" t="s">
        <v>158</v>
      </c>
      <c r="O659" s="43" t="s">
        <v>158</v>
      </c>
      <c r="P659" s="43" t="s">
        <v>158</v>
      </c>
    </row>
    <row r="660" s="11" customFormat="1" spans="1:16">
      <c r="A660" s="32" t="s">
        <v>285</v>
      </c>
      <c r="B660" s="28" t="s">
        <v>239</v>
      </c>
      <c r="C660" s="28" t="s">
        <v>240</v>
      </c>
      <c r="D660" s="33" t="str">
        <f>+IFERROR(VLOOKUP(C660,Data,4,FALSE),"Not in data")</f>
        <v>S</v>
      </c>
      <c r="E660" s="34" t="s">
        <v>149</v>
      </c>
      <c r="F660" s="30">
        <v>1</v>
      </c>
      <c r="G660" s="30">
        <v>1</v>
      </c>
      <c r="H660" s="31">
        <v>17.5</v>
      </c>
      <c r="I660" s="40">
        <f t="shared" si="79"/>
        <v>17.5</v>
      </c>
      <c r="J660" s="31">
        <f>+IFERROR(VLOOKUP(C660,Data,2,FALSE),"Not in weight table")</f>
        <v>44.7</v>
      </c>
      <c r="K660" s="31">
        <f>+IFERROR(VLOOKUP(C660,Data,3,FALSE),"Not in weight table")</f>
        <v>1.36</v>
      </c>
      <c r="L660" s="44">
        <f t="shared" si="80"/>
        <v>0.78225</v>
      </c>
      <c r="M660" s="42">
        <f t="shared" si="81"/>
        <v>23.8</v>
      </c>
      <c r="N660" s="43" t="s">
        <v>158</v>
      </c>
      <c r="O660" s="43" t="s">
        <v>158</v>
      </c>
      <c r="P660" s="43" t="s">
        <v>158</v>
      </c>
    </row>
    <row r="661" s="11" customFormat="1" spans="1:16">
      <c r="A661" s="32" t="s">
        <v>285</v>
      </c>
      <c r="B661" s="28" t="s">
        <v>239</v>
      </c>
      <c r="C661" s="28" t="s">
        <v>240</v>
      </c>
      <c r="D661" s="33" t="str">
        <f>+IFERROR(VLOOKUP(C661,Data,4,FALSE),"Not in data")</f>
        <v>S</v>
      </c>
      <c r="E661" s="34" t="s">
        <v>149</v>
      </c>
      <c r="F661" s="30">
        <v>1</v>
      </c>
      <c r="G661" s="30">
        <v>1</v>
      </c>
      <c r="H661" s="31">
        <v>15.1</v>
      </c>
      <c r="I661" s="40">
        <f t="shared" si="79"/>
        <v>15.1</v>
      </c>
      <c r="J661" s="31">
        <f>+IFERROR(VLOOKUP(C661,Data,2,FALSE),"Not in weight table")</f>
        <v>44.7</v>
      </c>
      <c r="K661" s="31">
        <f>+IFERROR(VLOOKUP(C661,Data,3,FALSE),"Not in weight table")</f>
        <v>1.36</v>
      </c>
      <c r="L661" s="44">
        <f t="shared" si="80"/>
        <v>0.67497</v>
      </c>
      <c r="M661" s="42">
        <f t="shared" si="81"/>
        <v>20.536</v>
      </c>
      <c r="N661" s="43" t="s">
        <v>158</v>
      </c>
      <c r="O661" s="43" t="s">
        <v>158</v>
      </c>
      <c r="P661" s="43" t="s">
        <v>158</v>
      </c>
    </row>
    <row r="662" s="11" customFormat="1" spans="1:16">
      <c r="A662" s="32" t="s">
        <v>285</v>
      </c>
      <c r="B662" s="28" t="s">
        <v>239</v>
      </c>
      <c r="C662" s="28" t="s">
        <v>240</v>
      </c>
      <c r="D662" s="33" t="str">
        <f>+IFERROR(VLOOKUP(C662,Data,4,FALSE),"Not in data")</f>
        <v>S</v>
      </c>
      <c r="E662" s="34" t="s">
        <v>149</v>
      </c>
      <c r="F662" s="30">
        <v>1</v>
      </c>
      <c r="G662" s="30">
        <v>1</v>
      </c>
      <c r="H662" s="31">
        <v>9.6</v>
      </c>
      <c r="I662" s="40">
        <f t="shared" si="79"/>
        <v>9.6</v>
      </c>
      <c r="J662" s="31">
        <f>+IFERROR(VLOOKUP(C662,Data,2,FALSE),"Not in weight table")</f>
        <v>44.7</v>
      </c>
      <c r="K662" s="31">
        <f>+IFERROR(VLOOKUP(C662,Data,3,FALSE),"Not in weight table")</f>
        <v>1.36</v>
      </c>
      <c r="L662" s="44">
        <f t="shared" si="80"/>
        <v>0.42912</v>
      </c>
      <c r="M662" s="42">
        <f t="shared" si="81"/>
        <v>13.056</v>
      </c>
      <c r="N662" s="43" t="s">
        <v>158</v>
      </c>
      <c r="O662" s="43" t="s">
        <v>158</v>
      </c>
      <c r="P662" s="43" t="s">
        <v>158</v>
      </c>
    </row>
    <row r="663" s="11" customFormat="1" spans="1:16">
      <c r="A663" s="32" t="s">
        <v>285</v>
      </c>
      <c r="B663" s="28" t="s">
        <v>201</v>
      </c>
      <c r="C663" s="28" t="s">
        <v>202</v>
      </c>
      <c r="D663" s="33" t="str">
        <f>+IFERROR(VLOOKUP(C663,Data,4,FALSE),"Not in data")</f>
        <v>T</v>
      </c>
      <c r="E663" s="34" t="s">
        <v>149</v>
      </c>
      <c r="F663" s="30">
        <v>1</v>
      </c>
      <c r="G663" s="30">
        <v>1</v>
      </c>
      <c r="H663" s="31">
        <v>8.7</v>
      </c>
      <c r="I663" s="40">
        <f t="shared" si="79"/>
        <v>8.7</v>
      </c>
      <c r="J663" s="31">
        <f>+IFERROR(VLOOKUP(C663,Data,2,FALSE),"Not in weight table")</f>
        <v>19.4</v>
      </c>
      <c r="K663" s="31">
        <f>+IFERROR(VLOOKUP(C663,Data,3,FALSE),"Not in weight table")</f>
        <v>0.529</v>
      </c>
      <c r="L663" s="44">
        <f t="shared" si="80"/>
        <v>0.16878</v>
      </c>
      <c r="M663" s="42">
        <f t="shared" si="81"/>
        <v>4.6023</v>
      </c>
      <c r="N663" s="43" t="s">
        <v>158</v>
      </c>
      <c r="O663" s="43" t="s">
        <v>158</v>
      </c>
      <c r="P663" s="43" t="s">
        <v>158</v>
      </c>
    </row>
    <row r="664" s="11" customFormat="1" spans="1:16">
      <c r="A664" s="32" t="s">
        <v>285</v>
      </c>
      <c r="B664" s="28" t="s">
        <v>201</v>
      </c>
      <c r="C664" s="28" t="s">
        <v>202</v>
      </c>
      <c r="D664" s="33" t="str">
        <f>+IFERROR(VLOOKUP(C664,Data,4,FALSE),"Not in data")</f>
        <v>T</v>
      </c>
      <c r="E664" s="34" t="s">
        <v>149</v>
      </c>
      <c r="F664" s="30">
        <v>1</v>
      </c>
      <c r="G664" s="30">
        <v>1</v>
      </c>
      <c r="H664" s="31">
        <v>8.5</v>
      </c>
      <c r="I664" s="40">
        <f t="shared" si="79"/>
        <v>8.5</v>
      </c>
      <c r="J664" s="31">
        <f>+IFERROR(VLOOKUP(C664,Data,2,FALSE),"Not in weight table")</f>
        <v>19.4</v>
      </c>
      <c r="K664" s="31">
        <f>+IFERROR(VLOOKUP(C664,Data,3,FALSE),"Not in weight table")</f>
        <v>0.529</v>
      </c>
      <c r="L664" s="44">
        <f t="shared" si="80"/>
        <v>0.1649</v>
      </c>
      <c r="M664" s="42">
        <f t="shared" si="81"/>
        <v>4.4965</v>
      </c>
      <c r="N664" s="43" t="s">
        <v>158</v>
      </c>
      <c r="O664" s="43" t="s">
        <v>158</v>
      </c>
      <c r="P664" s="43" t="s">
        <v>158</v>
      </c>
    </row>
    <row r="665" s="11" customFormat="1" spans="1:16">
      <c r="A665" s="32" t="s">
        <v>285</v>
      </c>
      <c r="B665" s="28" t="s">
        <v>201</v>
      </c>
      <c r="C665" s="28" t="s">
        <v>202</v>
      </c>
      <c r="D665" s="33" t="str">
        <f>+IFERROR(VLOOKUP(C665,Data,4,FALSE),"Not in data")</f>
        <v>T</v>
      </c>
      <c r="E665" s="34" t="s">
        <v>149</v>
      </c>
      <c r="F665" s="30">
        <v>1</v>
      </c>
      <c r="G665" s="30">
        <v>1</v>
      </c>
      <c r="H665" s="31">
        <v>7.5</v>
      </c>
      <c r="I665" s="40">
        <f t="shared" si="79"/>
        <v>7.5</v>
      </c>
      <c r="J665" s="31">
        <f>+IFERROR(VLOOKUP(C665,Data,2,FALSE),"Not in weight table")</f>
        <v>19.4</v>
      </c>
      <c r="K665" s="31">
        <f>+IFERROR(VLOOKUP(C665,Data,3,FALSE),"Not in weight table")</f>
        <v>0.529</v>
      </c>
      <c r="L665" s="44">
        <f t="shared" si="80"/>
        <v>0.1455</v>
      </c>
      <c r="M665" s="42">
        <f t="shared" si="81"/>
        <v>3.9675</v>
      </c>
      <c r="N665" s="43" t="s">
        <v>158</v>
      </c>
      <c r="O665" s="43" t="s">
        <v>158</v>
      </c>
      <c r="P665" s="43" t="s">
        <v>158</v>
      </c>
    </row>
    <row r="666" s="11" customFormat="1" spans="1:16">
      <c r="A666" s="32" t="s">
        <v>285</v>
      </c>
      <c r="B666" s="28" t="s">
        <v>201</v>
      </c>
      <c r="C666" s="28" t="s">
        <v>202</v>
      </c>
      <c r="D666" s="33" t="str">
        <f>+IFERROR(VLOOKUP(C666,Data,4,FALSE),"Not in data")</f>
        <v>T</v>
      </c>
      <c r="E666" s="34" t="s">
        <v>149</v>
      </c>
      <c r="F666" s="30">
        <v>1</v>
      </c>
      <c r="G666" s="30">
        <v>3</v>
      </c>
      <c r="H666" s="31">
        <v>3.7</v>
      </c>
      <c r="I666" s="40">
        <f t="shared" si="79"/>
        <v>11.1</v>
      </c>
      <c r="J666" s="31">
        <f>+IFERROR(VLOOKUP(C666,Data,2,FALSE),"Not in weight table")</f>
        <v>19.4</v>
      </c>
      <c r="K666" s="31">
        <f>+IFERROR(VLOOKUP(C666,Data,3,FALSE),"Not in weight table")</f>
        <v>0.529</v>
      </c>
      <c r="L666" s="44">
        <f t="shared" si="80"/>
        <v>0.21534</v>
      </c>
      <c r="M666" s="42">
        <f t="shared" si="81"/>
        <v>5.8719</v>
      </c>
      <c r="N666" s="43" t="s">
        <v>158</v>
      </c>
      <c r="O666" s="43" t="s">
        <v>158</v>
      </c>
      <c r="P666" s="43" t="s">
        <v>158</v>
      </c>
    </row>
    <row r="667" s="11" customFormat="1" spans="1:16">
      <c r="A667" s="32" t="s">
        <v>285</v>
      </c>
      <c r="B667" s="28" t="s">
        <v>201</v>
      </c>
      <c r="C667" s="28" t="s">
        <v>202</v>
      </c>
      <c r="D667" s="33" t="str">
        <f>+IFERROR(VLOOKUP(C667,Data,4,FALSE),"Not in data")</f>
        <v>T</v>
      </c>
      <c r="E667" s="34" t="s">
        <v>149</v>
      </c>
      <c r="F667" s="30">
        <v>1</v>
      </c>
      <c r="G667" s="30">
        <v>1</v>
      </c>
      <c r="H667" s="31">
        <v>7.6</v>
      </c>
      <c r="I667" s="40">
        <f t="shared" si="79"/>
        <v>7.6</v>
      </c>
      <c r="J667" s="31">
        <f>+IFERROR(VLOOKUP(C667,Data,2,FALSE),"Not in weight table")</f>
        <v>19.4</v>
      </c>
      <c r="K667" s="31">
        <f>+IFERROR(VLOOKUP(C667,Data,3,FALSE),"Not in weight table")</f>
        <v>0.529</v>
      </c>
      <c r="L667" s="44">
        <f t="shared" si="80"/>
        <v>0.14744</v>
      </c>
      <c r="M667" s="42">
        <f t="shared" si="81"/>
        <v>4.0204</v>
      </c>
      <c r="N667" s="43" t="s">
        <v>158</v>
      </c>
      <c r="O667" s="43" t="s">
        <v>158</v>
      </c>
      <c r="P667" s="43" t="s">
        <v>158</v>
      </c>
    </row>
    <row r="668" s="11" customFormat="1" spans="1:16">
      <c r="A668" s="32" t="s">
        <v>285</v>
      </c>
      <c r="B668" s="28" t="s">
        <v>201</v>
      </c>
      <c r="C668" s="28" t="s">
        <v>202</v>
      </c>
      <c r="D668" s="33" t="str">
        <f>+IFERROR(VLOOKUP(C668,Data,4,FALSE),"Not in data")</f>
        <v>T</v>
      </c>
      <c r="E668" s="34" t="s">
        <v>149</v>
      </c>
      <c r="F668" s="30">
        <v>1</v>
      </c>
      <c r="G668" s="30">
        <v>1</v>
      </c>
      <c r="H668" s="31">
        <v>7.8</v>
      </c>
      <c r="I668" s="40">
        <f t="shared" si="79"/>
        <v>7.8</v>
      </c>
      <c r="J668" s="31">
        <f>+IFERROR(VLOOKUP(C668,Data,2,FALSE),"Not in weight table")</f>
        <v>19.4</v>
      </c>
      <c r="K668" s="31">
        <f>+IFERROR(VLOOKUP(C668,Data,3,FALSE),"Not in weight table")</f>
        <v>0.529</v>
      </c>
      <c r="L668" s="44">
        <f t="shared" si="80"/>
        <v>0.15132</v>
      </c>
      <c r="M668" s="42">
        <f t="shared" si="81"/>
        <v>4.1262</v>
      </c>
      <c r="N668" s="43" t="s">
        <v>158</v>
      </c>
      <c r="O668" s="43" t="s">
        <v>158</v>
      </c>
      <c r="P668" s="43" t="s">
        <v>158</v>
      </c>
    </row>
    <row r="669" s="11" customFormat="1" spans="1:16">
      <c r="A669" s="32" t="s">
        <v>285</v>
      </c>
      <c r="B669" s="28" t="s">
        <v>201</v>
      </c>
      <c r="C669" s="28" t="s">
        <v>202</v>
      </c>
      <c r="D669" s="33" t="str">
        <f>+IFERROR(VLOOKUP(C669,Data,4,FALSE),"Not in data")</f>
        <v>T</v>
      </c>
      <c r="E669" s="34" t="s">
        <v>149</v>
      </c>
      <c r="F669" s="30">
        <v>1</v>
      </c>
      <c r="G669" s="30">
        <v>1</v>
      </c>
      <c r="H669" s="31">
        <v>3.9</v>
      </c>
      <c r="I669" s="40">
        <f t="shared" si="79"/>
        <v>3.9</v>
      </c>
      <c r="J669" s="31">
        <f>+IFERROR(VLOOKUP(C669,Data,2,FALSE),"Not in weight table")</f>
        <v>19.4</v>
      </c>
      <c r="K669" s="31">
        <f>+IFERROR(VLOOKUP(C669,Data,3,FALSE),"Not in weight table")</f>
        <v>0.529</v>
      </c>
      <c r="L669" s="44">
        <f t="shared" si="80"/>
        <v>0.07566</v>
      </c>
      <c r="M669" s="42">
        <f t="shared" si="81"/>
        <v>2.0631</v>
      </c>
      <c r="N669" s="43" t="s">
        <v>158</v>
      </c>
      <c r="O669" s="43" t="s">
        <v>158</v>
      </c>
      <c r="P669" s="43" t="s">
        <v>158</v>
      </c>
    </row>
    <row r="670" s="11" customFormat="1" spans="1:16">
      <c r="A670" s="32" t="s">
        <v>285</v>
      </c>
      <c r="B670" s="28" t="s">
        <v>201</v>
      </c>
      <c r="C670" s="28" t="s">
        <v>202</v>
      </c>
      <c r="D670" s="33" t="str">
        <f>+IFERROR(VLOOKUP(C670,Data,4,FALSE),"Not in data")</f>
        <v>T</v>
      </c>
      <c r="E670" s="34" t="s">
        <v>149</v>
      </c>
      <c r="F670" s="30">
        <v>1</v>
      </c>
      <c r="G670" s="30">
        <v>1</v>
      </c>
      <c r="H670" s="31">
        <v>3.7</v>
      </c>
      <c r="I670" s="40">
        <f t="shared" si="79"/>
        <v>3.7</v>
      </c>
      <c r="J670" s="31">
        <f>+IFERROR(VLOOKUP(C670,Data,2,FALSE),"Not in weight table")</f>
        <v>19.4</v>
      </c>
      <c r="K670" s="31">
        <f>+IFERROR(VLOOKUP(C670,Data,3,FALSE),"Not in weight table")</f>
        <v>0.529</v>
      </c>
      <c r="L670" s="44">
        <f t="shared" si="80"/>
        <v>0.07178</v>
      </c>
      <c r="M670" s="42">
        <f t="shared" si="81"/>
        <v>1.9573</v>
      </c>
      <c r="N670" s="43" t="s">
        <v>158</v>
      </c>
      <c r="O670" s="43" t="s">
        <v>158</v>
      </c>
      <c r="P670" s="43" t="s">
        <v>158</v>
      </c>
    </row>
    <row r="671" s="11" customFormat="1" spans="1:16">
      <c r="A671" s="32" t="s">
        <v>285</v>
      </c>
      <c r="B671" s="28" t="s">
        <v>208</v>
      </c>
      <c r="C671" s="28" t="s">
        <v>235</v>
      </c>
      <c r="D671" s="33" t="str">
        <f>+IFERROR(VLOOKUP(C671,Data,4,FALSE),"Not in data")</f>
        <v>S</v>
      </c>
      <c r="E671" s="34" t="s">
        <v>149</v>
      </c>
      <c r="F671" s="30">
        <v>1</v>
      </c>
      <c r="G671" s="30">
        <v>1</v>
      </c>
      <c r="H671" s="31">
        <v>7.2</v>
      </c>
      <c r="I671" s="40">
        <f t="shared" si="79"/>
        <v>7.2</v>
      </c>
      <c r="J671" s="31">
        <f>+IFERROR(VLOOKUP(C671,Data,2,FALSE),"Not in weight table")</f>
        <v>25.7</v>
      </c>
      <c r="K671" s="31">
        <f>+IFERROR(VLOOKUP(C671,Data,3,FALSE),"Not in weight table")</f>
        <v>0.961</v>
      </c>
      <c r="L671" s="44">
        <f t="shared" si="80"/>
        <v>0.18504</v>
      </c>
      <c r="M671" s="42">
        <f t="shared" si="81"/>
        <v>6.9192</v>
      </c>
      <c r="N671" s="43" t="s">
        <v>158</v>
      </c>
      <c r="O671" s="43" t="s">
        <v>158</v>
      </c>
      <c r="P671" s="43" t="s">
        <v>158</v>
      </c>
    </row>
    <row r="672" s="11" customFormat="1" spans="1:16">
      <c r="A672" s="32" t="s">
        <v>285</v>
      </c>
      <c r="B672" s="28" t="s">
        <v>208</v>
      </c>
      <c r="C672" s="28" t="s">
        <v>235</v>
      </c>
      <c r="D672" s="33" t="str">
        <f>+IFERROR(VLOOKUP(C672,Data,4,FALSE),"Not in data")</f>
        <v>S</v>
      </c>
      <c r="E672" s="34" t="s">
        <v>149</v>
      </c>
      <c r="F672" s="30">
        <v>1</v>
      </c>
      <c r="G672" s="30">
        <v>1</v>
      </c>
      <c r="H672" s="31">
        <v>5.6</v>
      </c>
      <c r="I672" s="40">
        <f t="shared" si="79"/>
        <v>5.6</v>
      </c>
      <c r="J672" s="31">
        <f>+IFERROR(VLOOKUP(C672,Data,2,FALSE),"Not in weight table")</f>
        <v>25.7</v>
      </c>
      <c r="K672" s="31">
        <f>+IFERROR(VLOOKUP(C672,Data,3,FALSE),"Not in weight table")</f>
        <v>0.961</v>
      </c>
      <c r="L672" s="44">
        <f t="shared" si="80"/>
        <v>0.14392</v>
      </c>
      <c r="M672" s="42">
        <f t="shared" si="81"/>
        <v>5.3816</v>
      </c>
      <c r="N672" s="43" t="s">
        <v>158</v>
      </c>
      <c r="O672" s="43" t="s">
        <v>158</v>
      </c>
      <c r="P672" s="43" t="s">
        <v>158</v>
      </c>
    </row>
    <row r="673" s="11" customFormat="1" spans="1:16">
      <c r="A673" s="32" t="s">
        <v>285</v>
      </c>
      <c r="B673" s="28" t="s">
        <v>208</v>
      </c>
      <c r="C673" s="28" t="s">
        <v>235</v>
      </c>
      <c r="D673" s="33" t="str">
        <f>+IFERROR(VLOOKUP(C673,Data,4,FALSE),"Not in data")</f>
        <v>S</v>
      </c>
      <c r="E673" s="34" t="s">
        <v>149</v>
      </c>
      <c r="F673" s="30">
        <v>1</v>
      </c>
      <c r="G673" s="30">
        <v>1</v>
      </c>
      <c r="H673" s="31">
        <v>9</v>
      </c>
      <c r="I673" s="40">
        <f t="shared" si="79"/>
        <v>9</v>
      </c>
      <c r="J673" s="31">
        <f>+IFERROR(VLOOKUP(C673,Data,2,FALSE),"Not in weight table")</f>
        <v>25.7</v>
      </c>
      <c r="K673" s="31">
        <f>+IFERROR(VLOOKUP(C673,Data,3,FALSE),"Not in weight table")</f>
        <v>0.961</v>
      </c>
      <c r="L673" s="44">
        <f t="shared" si="80"/>
        <v>0.2313</v>
      </c>
      <c r="M673" s="42">
        <f t="shared" si="81"/>
        <v>8.649</v>
      </c>
      <c r="N673" s="43" t="s">
        <v>158</v>
      </c>
      <c r="O673" s="43" t="s">
        <v>158</v>
      </c>
      <c r="P673" s="43" t="s">
        <v>158</v>
      </c>
    </row>
    <row r="674" s="11" customFormat="1" spans="1:16">
      <c r="A674" s="32" t="s">
        <v>285</v>
      </c>
      <c r="B674" s="28" t="s">
        <v>208</v>
      </c>
      <c r="C674" s="28" t="s">
        <v>235</v>
      </c>
      <c r="D674" s="33" t="str">
        <f>+IFERROR(VLOOKUP(C674,Data,4,FALSE),"Not in data")</f>
        <v>S</v>
      </c>
      <c r="E674" s="34" t="s">
        <v>149</v>
      </c>
      <c r="F674" s="30">
        <v>1</v>
      </c>
      <c r="G674" s="30">
        <v>1</v>
      </c>
      <c r="H674" s="31">
        <v>10.6</v>
      </c>
      <c r="I674" s="40">
        <f t="shared" si="79"/>
        <v>10.6</v>
      </c>
      <c r="J674" s="31">
        <f>+IFERROR(VLOOKUP(C674,Data,2,FALSE),"Not in weight table")</f>
        <v>25.7</v>
      </c>
      <c r="K674" s="31">
        <f>+IFERROR(VLOOKUP(C674,Data,3,FALSE),"Not in weight table")</f>
        <v>0.961</v>
      </c>
      <c r="L674" s="44">
        <f t="shared" si="80"/>
        <v>0.27242</v>
      </c>
      <c r="M674" s="42">
        <f t="shared" si="81"/>
        <v>10.1866</v>
      </c>
      <c r="N674" s="43" t="s">
        <v>158</v>
      </c>
      <c r="O674" s="43" t="s">
        <v>158</v>
      </c>
      <c r="P674" s="43" t="s">
        <v>158</v>
      </c>
    </row>
    <row r="675" s="11" customFormat="1" spans="1:16">
      <c r="A675" s="32" t="s">
        <v>285</v>
      </c>
      <c r="B675" s="28" t="s">
        <v>208</v>
      </c>
      <c r="C675" s="28" t="s">
        <v>235</v>
      </c>
      <c r="D675" s="33" t="str">
        <f>+IFERROR(VLOOKUP(C675,Data,4,FALSE),"Not in data")</f>
        <v>S</v>
      </c>
      <c r="E675" s="34" t="s">
        <v>149</v>
      </c>
      <c r="F675" s="30">
        <v>1</v>
      </c>
      <c r="G675" s="30">
        <v>1</v>
      </c>
      <c r="H675" s="31">
        <v>10</v>
      </c>
      <c r="I675" s="40">
        <f t="shared" si="79"/>
        <v>10</v>
      </c>
      <c r="J675" s="31">
        <f>+IFERROR(VLOOKUP(C675,Data,2,FALSE),"Not in weight table")</f>
        <v>25.7</v>
      </c>
      <c r="K675" s="31">
        <f>+IFERROR(VLOOKUP(C675,Data,3,FALSE),"Not in weight table")</f>
        <v>0.961</v>
      </c>
      <c r="L675" s="44">
        <f t="shared" si="80"/>
        <v>0.257</v>
      </c>
      <c r="M675" s="42">
        <f t="shared" si="81"/>
        <v>9.61</v>
      </c>
      <c r="N675" s="43" t="s">
        <v>158</v>
      </c>
      <c r="O675" s="43" t="s">
        <v>158</v>
      </c>
      <c r="P675" s="43" t="s">
        <v>158</v>
      </c>
    </row>
    <row r="676" s="11" customFormat="1" spans="1:16">
      <c r="A676" s="32" t="s">
        <v>285</v>
      </c>
      <c r="B676" s="28" t="s">
        <v>208</v>
      </c>
      <c r="C676" s="28" t="s">
        <v>235</v>
      </c>
      <c r="D676" s="33" t="str">
        <f>+IFERROR(VLOOKUP(C676,Data,4,FALSE),"Not in data")</f>
        <v>S</v>
      </c>
      <c r="E676" s="34" t="s">
        <v>149</v>
      </c>
      <c r="F676" s="30">
        <v>1</v>
      </c>
      <c r="G676" s="30">
        <v>2</v>
      </c>
      <c r="H676" s="31">
        <v>16.6</v>
      </c>
      <c r="I676" s="40">
        <f t="shared" si="79"/>
        <v>33.2</v>
      </c>
      <c r="J676" s="31">
        <f>+IFERROR(VLOOKUP(C676,Data,2,FALSE),"Not in weight table")</f>
        <v>25.7</v>
      </c>
      <c r="K676" s="31">
        <f>+IFERROR(VLOOKUP(C676,Data,3,FALSE),"Not in weight table")</f>
        <v>0.961</v>
      </c>
      <c r="L676" s="44">
        <f t="shared" si="80"/>
        <v>0.85324</v>
      </c>
      <c r="M676" s="42">
        <f t="shared" si="81"/>
        <v>31.9052</v>
      </c>
      <c r="N676" s="43" t="s">
        <v>158</v>
      </c>
      <c r="O676" s="43" t="s">
        <v>158</v>
      </c>
      <c r="P676" s="43" t="s">
        <v>158</v>
      </c>
    </row>
    <row r="677" s="11" customFormat="1" spans="1:16">
      <c r="A677" s="32" t="s">
        <v>285</v>
      </c>
      <c r="B677" s="28" t="s">
        <v>208</v>
      </c>
      <c r="C677" s="28" t="s">
        <v>235</v>
      </c>
      <c r="D677" s="33" t="str">
        <f>+IFERROR(VLOOKUP(C677,Data,4,FALSE),"Not in data")</f>
        <v>S</v>
      </c>
      <c r="E677" s="34" t="s">
        <v>149</v>
      </c>
      <c r="F677" s="30">
        <v>1</v>
      </c>
      <c r="G677" s="30">
        <v>1</v>
      </c>
      <c r="H677" s="31">
        <v>3.1</v>
      </c>
      <c r="I677" s="40">
        <f t="shared" si="79"/>
        <v>3.1</v>
      </c>
      <c r="J677" s="31">
        <f>+IFERROR(VLOOKUP(C677,Data,2,FALSE),"Not in weight table")</f>
        <v>25.7</v>
      </c>
      <c r="K677" s="31">
        <f>+IFERROR(VLOOKUP(C677,Data,3,FALSE),"Not in weight table")</f>
        <v>0.961</v>
      </c>
      <c r="L677" s="44">
        <f t="shared" si="80"/>
        <v>0.07967</v>
      </c>
      <c r="M677" s="42">
        <f t="shared" si="81"/>
        <v>2.9791</v>
      </c>
      <c r="N677" s="43" t="s">
        <v>158</v>
      </c>
      <c r="O677" s="43" t="s">
        <v>158</v>
      </c>
      <c r="P677" s="43" t="s">
        <v>158</v>
      </c>
    </row>
    <row r="678" s="11" customFormat="1" spans="1:16">
      <c r="A678" s="32" t="s">
        <v>285</v>
      </c>
      <c r="B678" s="28" t="s">
        <v>208</v>
      </c>
      <c r="C678" s="28" t="s">
        <v>235</v>
      </c>
      <c r="D678" s="33" t="str">
        <f>+IFERROR(VLOOKUP(C678,Data,4,FALSE),"Not in data")</f>
        <v>S</v>
      </c>
      <c r="E678" s="34" t="s">
        <v>149</v>
      </c>
      <c r="F678" s="30">
        <v>1</v>
      </c>
      <c r="G678" s="30">
        <v>1</v>
      </c>
      <c r="H678" s="31">
        <v>7.3</v>
      </c>
      <c r="I678" s="40">
        <f t="shared" si="79"/>
        <v>7.3</v>
      </c>
      <c r="J678" s="31">
        <f>+IFERROR(VLOOKUP(C678,Data,2,FALSE),"Not in weight table")</f>
        <v>25.7</v>
      </c>
      <c r="K678" s="31">
        <f>+IFERROR(VLOOKUP(C678,Data,3,FALSE),"Not in weight table")</f>
        <v>0.961</v>
      </c>
      <c r="L678" s="44">
        <f t="shared" si="80"/>
        <v>0.18761</v>
      </c>
      <c r="M678" s="42">
        <f t="shared" si="81"/>
        <v>7.0153</v>
      </c>
      <c r="N678" s="43" t="s">
        <v>158</v>
      </c>
      <c r="O678" s="43" t="s">
        <v>158</v>
      </c>
      <c r="P678" s="43" t="s">
        <v>158</v>
      </c>
    </row>
    <row r="679" s="11" customFormat="1" spans="1:16">
      <c r="A679" s="32" t="s">
        <v>285</v>
      </c>
      <c r="B679" s="28" t="s">
        <v>208</v>
      </c>
      <c r="C679" s="28" t="s">
        <v>235</v>
      </c>
      <c r="D679" s="33" t="str">
        <f>+IFERROR(VLOOKUP(C679,Data,4,FALSE),"Not in data")</f>
        <v>S</v>
      </c>
      <c r="E679" s="34" t="s">
        <v>149</v>
      </c>
      <c r="F679" s="30">
        <v>1</v>
      </c>
      <c r="G679" s="30">
        <v>1</v>
      </c>
      <c r="H679" s="31">
        <v>4.1</v>
      </c>
      <c r="I679" s="40">
        <f t="shared" si="79"/>
        <v>4.1</v>
      </c>
      <c r="J679" s="31">
        <f>+IFERROR(VLOOKUP(C679,Data,2,FALSE),"Not in weight table")</f>
        <v>25.7</v>
      </c>
      <c r="K679" s="31">
        <f>+IFERROR(VLOOKUP(C679,Data,3,FALSE),"Not in weight table")</f>
        <v>0.961</v>
      </c>
      <c r="L679" s="44">
        <f t="shared" si="80"/>
        <v>0.10537</v>
      </c>
      <c r="M679" s="42">
        <f t="shared" si="81"/>
        <v>3.9401</v>
      </c>
      <c r="N679" s="43" t="s">
        <v>158</v>
      </c>
      <c r="O679" s="43" t="s">
        <v>158</v>
      </c>
      <c r="P679" s="43" t="s">
        <v>158</v>
      </c>
    </row>
    <row r="680" s="11" customFormat="1" spans="1:16">
      <c r="A680" s="32" t="s">
        <v>285</v>
      </c>
      <c r="B680" s="28" t="s">
        <v>208</v>
      </c>
      <c r="C680" s="28" t="s">
        <v>235</v>
      </c>
      <c r="D680" s="33" t="str">
        <f>+IFERROR(VLOOKUP(C680,Data,4,FALSE),"Not in data")</f>
        <v>S</v>
      </c>
      <c r="E680" s="34" t="s">
        <v>149</v>
      </c>
      <c r="F680" s="30">
        <v>1</v>
      </c>
      <c r="G680" s="30">
        <v>1</v>
      </c>
      <c r="H680" s="31">
        <v>6.2</v>
      </c>
      <c r="I680" s="40">
        <f t="shared" si="79"/>
        <v>6.2</v>
      </c>
      <c r="J680" s="31">
        <f>+IFERROR(VLOOKUP(C680,Data,2,FALSE),"Not in weight table")</f>
        <v>25.7</v>
      </c>
      <c r="K680" s="31">
        <f>+IFERROR(VLOOKUP(C680,Data,3,FALSE),"Not in weight table")</f>
        <v>0.961</v>
      </c>
      <c r="L680" s="44">
        <f t="shared" si="80"/>
        <v>0.15934</v>
      </c>
      <c r="M680" s="42">
        <f t="shared" si="81"/>
        <v>5.9582</v>
      </c>
      <c r="N680" s="43" t="s">
        <v>158</v>
      </c>
      <c r="O680" s="43" t="s">
        <v>158</v>
      </c>
      <c r="P680" s="43" t="s">
        <v>158</v>
      </c>
    </row>
    <row r="681" s="11" customFormat="1" spans="1:16">
      <c r="A681" s="32" t="s">
        <v>285</v>
      </c>
      <c r="B681" s="28" t="s">
        <v>208</v>
      </c>
      <c r="C681" s="28" t="s">
        <v>235</v>
      </c>
      <c r="D681" s="33" t="str">
        <f>+IFERROR(VLOOKUP(C681,Data,4,FALSE),"Not in data")</f>
        <v>S</v>
      </c>
      <c r="E681" s="34" t="s">
        <v>149</v>
      </c>
      <c r="F681" s="30">
        <v>1</v>
      </c>
      <c r="G681" s="30">
        <v>1</v>
      </c>
      <c r="H681" s="31">
        <v>7.8</v>
      </c>
      <c r="I681" s="40">
        <f t="shared" si="79"/>
        <v>7.8</v>
      </c>
      <c r="J681" s="31">
        <f>+IFERROR(VLOOKUP(C681,Data,2,FALSE),"Not in weight table")</f>
        <v>25.7</v>
      </c>
      <c r="K681" s="31">
        <f>+IFERROR(VLOOKUP(C681,Data,3,FALSE),"Not in weight table")</f>
        <v>0.961</v>
      </c>
      <c r="L681" s="44">
        <f t="shared" si="80"/>
        <v>0.20046</v>
      </c>
      <c r="M681" s="42">
        <f t="shared" si="81"/>
        <v>7.4958</v>
      </c>
      <c r="N681" s="43" t="s">
        <v>158</v>
      </c>
      <c r="O681" s="43" t="s">
        <v>158</v>
      </c>
      <c r="P681" s="43" t="s">
        <v>158</v>
      </c>
    </row>
    <row r="682" s="11" customFormat="1" spans="1:16">
      <c r="A682" s="32" t="s">
        <v>285</v>
      </c>
      <c r="B682" s="28" t="s">
        <v>208</v>
      </c>
      <c r="C682" s="28" t="s">
        <v>235</v>
      </c>
      <c r="D682" s="33" t="str">
        <f>+IFERROR(VLOOKUP(C682,Data,4,FALSE),"Not in data")</f>
        <v>S</v>
      </c>
      <c r="E682" s="34" t="s">
        <v>149</v>
      </c>
      <c r="F682" s="30">
        <v>1</v>
      </c>
      <c r="G682" s="30">
        <v>1</v>
      </c>
      <c r="H682" s="31">
        <v>5.2</v>
      </c>
      <c r="I682" s="40">
        <f t="shared" si="79"/>
        <v>5.2</v>
      </c>
      <c r="J682" s="31">
        <f>+IFERROR(VLOOKUP(C682,Data,2,FALSE),"Not in weight table")</f>
        <v>25.7</v>
      </c>
      <c r="K682" s="31">
        <f>+IFERROR(VLOOKUP(C682,Data,3,FALSE),"Not in weight table")</f>
        <v>0.961</v>
      </c>
      <c r="L682" s="44">
        <f t="shared" si="80"/>
        <v>0.13364</v>
      </c>
      <c r="M682" s="42">
        <f t="shared" si="81"/>
        <v>4.9972</v>
      </c>
      <c r="N682" s="43" t="s">
        <v>158</v>
      </c>
      <c r="O682" s="43" t="s">
        <v>158</v>
      </c>
      <c r="P682" s="43" t="s">
        <v>158</v>
      </c>
    </row>
    <row r="683" s="11" customFormat="1" spans="1:16">
      <c r="A683" s="32" t="s">
        <v>285</v>
      </c>
      <c r="B683" s="28" t="s">
        <v>208</v>
      </c>
      <c r="C683" s="28" t="s">
        <v>235</v>
      </c>
      <c r="D683" s="33" t="str">
        <f>+IFERROR(VLOOKUP(C683,Data,4,FALSE),"Not in data")</f>
        <v>S</v>
      </c>
      <c r="E683" s="34" t="s">
        <v>149</v>
      </c>
      <c r="F683" s="30">
        <v>1</v>
      </c>
      <c r="G683" s="30">
        <v>1</v>
      </c>
      <c r="H683" s="31">
        <v>4.5</v>
      </c>
      <c r="I683" s="40">
        <f t="shared" si="79"/>
        <v>4.5</v>
      </c>
      <c r="J683" s="31">
        <f>+IFERROR(VLOOKUP(C683,Data,2,FALSE),"Not in weight table")</f>
        <v>25.7</v>
      </c>
      <c r="K683" s="31">
        <f>+IFERROR(VLOOKUP(C683,Data,3,FALSE),"Not in weight table")</f>
        <v>0.961</v>
      </c>
      <c r="L683" s="44">
        <f t="shared" si="80"/>
        <v>0.11565</v>
      </c>
      <c r="M683" s="42">
        <f t="shared" si="81"/>
        <v>4.3245</v>
      </c>
      <c r="N683" s="43" t="s">
        <v>158</v>
      </c>
      <c r="O683" s="43" t="s">
        <v>158</v>
      </c>
      <c r="P683" s="43" t="s">
        <v>158</v>
      </c>
    </row>
    <row r="684" s="11" customFormat="1" spans="1:16">
      <c r="A684" s="32" t="s">
        <v>285</v>
      </c>
      <c r="B684" s="28" t="s">
        <v>208</v>
      </c>
      <c r="C684" s="28" t="s">
        <v>235</v>
      </c>
      <c r="D684" s="33" t="str">
        <f>+IFERROR(VLOOKUP(C684,Data,4,FALSE),"Not in data")</f>
        <v>S</v>
      </c>
      <c r="E684" s="34" t="s">
        <v>149</v>
      </c>
      <c r="F684" s="30">
        <v>1</v>
      </c>
      <c r="G684" s="30">
        <v>1</v>
      </c>
      <c r="H684" s="31">
        <v>10.1</v>
      </c>
      <c r="I684" s="40">
        <f t="shared" si="79"/>
        <v>10.1</v>
      </c>
      <c r="J684" s="31">
        <f>+IFERROR(VLOOKUP(C684,Data,2,FALSE),"Not in weight table")</f>
        <v>25.7</v>
      </c>
      <c r="K684" s="31">
        <f>+IFERROR(VLOOKUP(C684,Data,3,FALSE),"Not in weight table")</f>
        <v>0.961</v>
      </c>
      <c r="L684" s="44">
        <f t="shared" si="80"/>
        <v>0.25957</v>
      </c>
      <c r="M684" s="42">
        <f t="shared" si="81"/>
        <v>9.7061</v>
      </c>
      <c r="N684" s="43" t="s">
        <v>158</v>
      </c>
      <c r="O684" s="43" t="s">
        <v>158</v>
      </c>
      <c r="P684" s="43" t="s">
        <v>158</v>
      </c>
    </row>
    <row r="685" s="11" customFormat="1" spans="1:16">
      <c r="A685" s="32" t="s">
        <v>285</v>
      </c>
      <c r="B685" s="28" t="s">
        <v>208</v>
      </c>
      <c r="C685" s="28" t="s">
        <v>235</v>
      </c>
      <c r="D685" s="33" t="str">
        <f>+IFERROR(VLOOKUP(C685,Data,4,FALSE),"Not in data")</f>
        <v>S</v>
      </c>
      <c r="E685" s="34" t="s">
        <v>149</v>
      </c>
      <c r="F685" s="30">
        <v>1</v>
      </c>
      <c r="G685" s="30">
        <v>1</v>
      </c>
      <c r="H685" s="31">
        <v>8.1</v>
      </c>
      <c r="I685" s="40">
        <f t="shared" si="79"/>
        <v>8.1</v>
      </c>
      <c r="J685" s="31">
        <f>+IFERROR(VLOOKUP(C685,Data,2,FALSE),"Not in weight table")</f>
        <v>25.7</v>
      </c>
      <c r="K685" s="31">
        <f>+IFERROR(VLOOKUP(C685,Data,3,FALSE),"Not in weight table")</f>
        <v>0.961</v>
      </c>
      <c r="L685" s="44">
        <f t="shared" si="80"/>
        <v>0.20817</v>
      </c>
      <c r="M685" s="42">
        <f t="shared" si="81"/>
        <v>7.7841</v>
      </c>
      <c r="N685" s="43" t="s">
        <v>158</v>
      </c>
      <c r="O685" s="43" t="s">
        <v>158</v>
      </c>
      <c r="P685" s="43" t="s">
        <v>158</v>
      </c>
    </row>
    <row r="686" s="11" customFormat="1" spans="1:16">
      <c r="A686" s="32" t="s">
        <v>285</v>
      </c>
      <c r="B686" s="28" t="s">
        <v>208</v>
      </c>
      <c r="C686" s="28" t="s">
        <v>235</v>
      </c>
      <c r="D686" s="33" t="str">
        <f>+IFERROR(VLOOKUP(C686,Data,4,FALSE),"Not in data")</f>
        <v>S</v>
      </c>
      <c r="E686" s="34" t="s">
        <v>149</v>
      </c>
      <c r="F686" s="30">
        <v>1</v>
      </c>
      <c r="G686" s="30">
        <v>1</v>
      </c>
      <c r="H686" s="31">
        <v>7.3</v>
      </c>
      <c r="I686" s="40">
        <f t="shared" si="79"/>
        <v>7.3</v>
      </c>
      <c r="J686" s="31">
        <f>+IFERROR(VLOOKUP(C686,Data,2,FALSE),"Not in weight table")</f>
        <v>25.7</v>
      </c>
      <c r="K686" s="31">
        <f>+IFERROR(VLOOKUP(C686,Data,3,FALSE),"Not in weight table")</f>
        <v>0.961</v>
      </c>
      <c r="L686" s="44">
        <f t="shared" si="80"/>
        <v>0.18761</v>
      </c>
      <c r="M686" s="42">
        <f t="shared" si="81"/>
        <v>7.0153</v>
      </c>
      <c r="N686" s="43" t="s">
        <v>158</v>
      </c>
      <c r="O686" s="43" t="s">
        <v>158</v>
      </c>
      <c r="P686" s="43" t="s">
        <v>158</v>
      </c>
    </row>
    <row r="687" s="11" customFormat="1" spans="1:16">
      <c r="A687" s="32" t="s">
        <v>285</v>
      </c>
      <c r="B687" s="28" t="s">
        <v>236</v>
      </c>
      <c r="C687" s="28" t="s">
        <v>192</v>
      </c>
      <c r="D687" s="33" t="str">
        <f>+IFERROR(VLOOKUP(C687,Data,4,FALSE),"Not in data")</f>
        <v>T</v>
      </c>
      <c r="E687" s="34" t="s">
        <v>149</v>
      </c>
      <c r="F687" s="30">
        <v>1</v>
      </c>
      <c r="G687" s="30">
        <v>1</v>
      </c>
      <c r="H687" s="31">
        <v>7.2</v>
      </c>
      <c r="I687" s="40">
        <f t="shared" si="79"/>
        <v>7.2</v>
      </c>
      <c r="J687" s="31">
        <f>+IFERROR(VLOOKUP(C687,Data,2,FALSE),"Not in weight table")</f>
        <v>14.6</v>
      </c>
      <c r="K687" s="31">
        <f>+IFERROR(VLOOKUP(C687,Data,3,FALSE),"Not in weight table")</f>
        <v>0.33</v>
      </c>
      <c r="L687" s="44">
        <f t="shared" si="80"/>
        <v>0.10512</v>
      </c>
      <c r="M687" s="42">
        <f t="shared" si="81"/>
        <v>2.376</v>
      </c>
      <c r="N687" s="43" t="s">
        <v>158</v>
      </c>
      <c r="O687" s="43" t="s">
        <v>158</v>
      </c>
      <c r="P687" s="43" t="s">
        <v>158</v>
      </c>
    </row>
    <row r="688" s="11" customFormat="1" spans="1:16">
      <c r="A688" s="32" t="s">
        <v>285</v>
      </c>
      <c r="B688" s="28" t="s">
        <v>195</v>
      </c>
      <c r="C688" s="28" t="s">
        <v>192</v>
      </c>
      <c r="D688" s="33" t="str">
        <f>+IFERROR(VLOOKUP(C688,Data,4,FALSE),"Not in data")</f>
        <v>T</v>
      </c>
      <c r="E688" s="34" t="s">
        <v>149</v>
      </c>
      <c r="F688" s="30">
        <v>1</v>
      </c>
      <c r="G688" s="30">
        <v>3</v>
      </c>
      <c r="H688" s="31">
        <v>3.8</v>
      </c>
      <c r="I688" s="40">
        <f t="shared" si="79"/>
        <v>11.4</v>
      </c>
      <c r="J688" s="31">
        <f>+IFERROR(VLOOKUP(C688,Data,2,FALSE),"Not in weight table")</f>
        <v>14.6</v>
      </c>
      <c r="K688" s="31">
        <f>+IFERROR(VLOOKUP(C688,Data,3,FALSE),"Not in weight table")</f>
        <v>0.33</v>
      </c>
      <c r="L688" s="44">
        <f t="shared" si="80"/>
        <v>0.16644</v>
      </c>
      <c r="M688" s="42">
        <f t="shared" si="81"/>
        <v>3.762</v>
      </c>
      <c r="N688" s="43" t="s">
        <v>158</v>
      </c>
      <c r="O688" s="43" t="s">
        <v>158</v>
      </c>
      <c r="P688" s="43" t="s">
        <v>158</v>
      </c>
    </row>
    <row r="689" s="11" customFormat="1" spans="1:16">
      <c r="A689" s="32" t="s">
        <v>285</v>
      </c>
      <c r="B689" s="28" t="s">
        <v>188</v>
      </c>
      <c r="C689" s="28" t="s">
        <v>189</v>
      </c>
      <c r="D689" s="33" t="str">
        <f>+IFERROR(VLOOKUP(C689,Data,4,FALSE),"Not in data")</f>
        <v>S</v>
      </c>
      <c r="E689" s="34" t="s">
        <v>149</v>
      </c>
      <c r="F689" s="30">
        <v>1</v>
      </c>
      <c r="G689" s="30">
        <v>12</v>
      </c>
      <c r="H689" s="31">
        <v>2.5</v>
      </c>
      <c r="I689" s="40">
        <f t="shared" si="79"/>
        <v>30</v>
      </c>
      <c r="J689" s="31">
        <f>+IFERROR(VLOOKUP(C689,Data,2,FALSE),"Not in weight table")</f>
        <v>22.9</v>
      </c>
      <c r="K689" s="31">
        <f>+IFERROR(VLOOKUP(C689,Data,3,FALSE),"Not in weight table")</f>
        <v>0.668</v>
      </c>
      <c r="L689" s="44">
        <f t="shared" si="80"/>
        <v>0.687</v>
      </c>
      <c r="M689" s="42">
        <f t="shared" si="81"/>
        <v>20.04</v>
      </c>
      <c r="N689" s="43" t="s">
        <v>158</v>
      </c>
      <c r="O689" s="43" t="s">
        <v>158</v>
      </c>
      <c r="P689" s="43" t="s">
        <v>158</v>
      </c>
    </row>
    <row r="690" s="11" customFormat="1" spans="1:16">
      <c r="A690" s="32" t="s">
        <v>285</v>
      </c>
      <c r="B690" s="28" t="s">
        <v>203</v>
      </c>
      <c r="C690" s="28" t="s">
        <v>204</v>
      </c>
      <c r="D690" s="33" t="str">
        <f>+IFERROR(VLOOKUP(C690,Data,4,FALSE),"Not in data")</f>
        <v>S</v>
      </c>
      <c r="E690" s="34" t="s">
        <v>149</v>
      </c>
      <c r="F690" s="30">
        <v>1</v>
      </c>
      <c r="G690" s="30">
        <v>1</v>
      </c>
      <c r="H690" s="31">
        <v>16.5</v>
      </c>
      <c r="I690" s="40">
        <f t="shared" si="79"/>
        <v>16.5</v>
      </c>
      <c r="J690" s="31">
        <f>+IFERROR(VLOOKUP(C690,Data,2,FALSE),"Not in weight table")</f>
        <v>32</v>
      </c>
      <c r="K690" s="31">
        <f>+IFERROR(VLOOKUP(C690,Data,3,FALSE),"Not in weight table")</f>
        <v>1.16</v>
      </c>
      <c r="L690" s="44">
        <f t="shared" si="80"/>
        <v>0.528</v>
      </c>
      <c r="M690" s="42">
        <f t="shared" si="81"/>
        <v>19.14</v>
      </c>
      <c r="N690" s="43" t="s">
        <v>158</v>
      </c>
      <c r="O690" s="43" t="s">
        <v>158</v>
      </c>
      <c r="P690" s="43" t="s">
        <v>158</v>
      </c>
    </row>
    <row r="691" s="11" customFormat="1" spans="1:16">
      <c r="A691" s="32" t="s">
        <v>285</v>
      </c>
      <c r="B691" s="28" t="s">
        <v>203</v>
      </c>
      <c r="C691" s="28" t="s">
        <v>204</v>
      </c>
      <c r="D691" s="33" t="str">
        <f>+IFERROR(VLOOKUP(C691,Data,4,FALSE),"Not in data")</f>
        <v>S</v>
      </c>
      <c r="E691" s="34" t="s">
        <v>149</v>
      </c>
      <c r="F691" s="30">
        <v>1</v>
      </c>
      <c r="G691" s="30">
        <v>1</v>
      </c>
      <c r="H691" s="31">
        <v>7.9</v>
      </c>
      <c r="I691" s="40">
        <f t="shared" si="79"/>
        <v>7.9</v>
      </c>
      <c r="J691" s="31">
        <f>+IFERROR(VLOOKUP(C691,Data,2,FALSE),"Not in weight table")</f>
        <v>32</v>
      </c>
      <c r="K691" s="31">
        <f>+IFERROR(VLOOKUP(C691,Data,3,FALSE),"Not in weight table")</f>
        <v>1.16</v>
      </c>
      <c r="L691" s="44">
        <f t="shared" si="80"/>
        <v>0.2528</v>
      </c>
      <c r="M691" s="42">
        <f t="shared" si="81"/>
        <v>9.164</v>
      </c>
      <c r="N691" s="43" t="s">
        <v>158</v>
      </c>
      <c r="O691" s="43" t="s">
        <v>158</v>
      </c>
      <c r="P691" s="43" t="s">
        <v>158</v>
      </c>
    </row>
    <row r="692" s="11" customFormat="1" spans="1:16">
      <c r="A692" s="32" t="s">
        <v>285</v>
      </c>
      <c r="B692" s="28" t="s">
        <v>203</v>
      </c>
      <c r="C692" s="28" t="s">
        <v>204</v>
      </c>
      <c r="D692" s="33" t="str">
        <f>+IFERROR(VLOOKUP(C692,Data,4,FALSE),"Not in data")</f>
        <v>S</v>
      </c>
      <c r="E692" s="34" t="s">
        <v>149</v>
      </c>
      <c r="F692" s="30">
        <v>1</v>
      </c>
      <c r="G692" s="30">
        <v>1</v>
      </c>
      <c r="H692" s="31">
        <v>3.8</v>
      </c>
      <c r="I692" s="40">
        <f t="shared" si="79"/>
        <v>3.8</v>
      </c>
      <c r="J692" s="31">
        <f>+IFERROR(VLOOKUP(C692,Data,2,FALSE),"Not in weight table")</f>
        <v>32</v>
      </c>
      <c r="K692" s="31">
        <f>+IFERROR(VLOOKUP(C692,Data,3,FALSE),"Not in weight table")</f>
        <v>1.16</v>
      </c>
      <c r="L692" s="44">
        <f t="shared" si="80"/>
        <v>0.1216</v>
      </c>
      <c r="M692" s="42">
        <f t="shared" si="81"/>
        <v>4.408</v>
      </c>
      <c r="N692" s="43" t="s">
        <v>158</v>
      </c>
      <c r="O692" s="43" t="s">
        <v>158</v>
      </c>
      <c r="P692" s="43" t="s">
        <v>158</v>
      </c>
    </row>
    <row r="693" s="11" customFormat="1" spans="1:16">
      <c r="A693" s="32" t="s">
        <v>285</v>
      </c>
      <c r="B693" s="28" t="s">
        <v>203</v>
      </c>
      <c r="C693" s="28" t="s">
        <v>204</v>
      </c>
      <c r="D693" s="33" t="str">
        <f>+IFERROR(VLOOKUP(C693,Data,4,FALSE),"Not in data")</f>
        <v>S</v>
      </c>
      <c r="E693" s="34" t="s">
        <v>149</v>
      </c>
      <c r="F693" s="30">
        <v>1</v>
      </c>
      <c r="G693" s="30">
        <v>1</v>
      </c>
      <c r="H693" s="31">
        <v>3.6</v>
      </c>
      <c r="I693" s="40">
        <f t="shared" si="79"/>
        <v>3.6</v>
      </c>
      <c r="J693" s="31">
        <f>+IFERROR(VLOOKUP(C693,Data,2,FALSE),"Not in weight table")</f>
        <v>32</v>
      </c>
      <c r="K693" s="31">
        <f>+IFERROR(VLOOKUP(C693,Data,3,FALSE),"Not in weight table")</f>
        <v>1.16</v>
      </c>
      <c r="L693" s="44">
        <f t="shared" si="80"/>
        <v>0.1152</v>
      </c>
      <c r="M693" s="42">
        <f t="shared" si="81"/>
        <v>4.176</v>
      </c>
      <c r="N693" s="43" t="s">
        <v>158</v>
      </c>
      <c r="O693" s="43" t="s">
        <v>158</v>
      </c>
      <c r="P693" s="43" t="s">
        <v>158</v>
      </c>
    </row>
    <row r="694" s="11" customFormat="1" spans="1:16">
      <c r="A694" s="32" t="s">
        <v>285</v>
      </c>
      <c r="B694" s="28" t="s">
        <v>203</v>
      </c>
      <c r="C694" s="28" t="s">
        <v>204</v>
      </c>
      <c r="D694" s="33" t="str">
        <f>+IFERROR(VLOOKUP(C694,Data,4,FALSE),"Not in data")</f>
        <v>S</v>
      </c>
      <c r="E694" s="34" t="s">
        <v>149</v>
      </c>
      <c r="F694" s="30">
        <v>1</v>
      </c>
      <c r="G694" s="30">
        <v>1</v>
      </c>
      <c r="H694" s="31">
        <v>3</v>
      </c>
      <c r="I694" s="40">
        <f t="shared" si="79"/>
        <v>3</v>
      </c>
      <c r="J694" s="31">
        <f>+IFERROR(VLOOKUP(C694,Data,2,FALSE),"Not in weight table")</f>
        <v>32</v>
      </c>
      <c r="K694" s="31">
        <f>+IFERROR(VLOOKUP(C694,Data,3,FALSE),"Not in weight table")</f>
        <v>1.16</v>
      </c>
      <c r="L694" s="44">
        <f t="shared" si="80"/>
        <v>0.096</v>
      </c>
      <c r="M694" s="42">
        <f t="shared" si="81"/>
        <v>3.48</v>
      </c>
      <c r="N694" s="43" t="s">
        <v>158</v>
      </c>
      <c r="O694" s="43" t="s">
        <v>158</v>
      </c>
      <c r="P694" s="43" t="s">
        <v>158</v>
      </c>
    </row>
    <row r="695" s="11" customFormat="1" spans="1:16">
      <c r="A695" s="32" t="s">
        <v>285</v>
      </c>
      <c r="B695" s="28" t="s">
        <v>203</v>
      </c>
      <c r="C695" s="28" t="s">
        <v>204</v>
      </c>
      <c r="D695" s="33" t="str">
        <f>+IFERROR(VLOOKUP(C695,Data,4,FALSE),"Not in data")</f>
        <v>S</v>
      </c>
      <c r="E695" s="34" t="s">
        <v>149</v>
      </c>
      <c r="F695" s="30">
        <v>1</v>
      </c>
      <c r="G695" s="30">
        <v>1</v>
      </c>
      <c r="H695" s="31">
        <v>2.4</v>
      </c>
      <c r="I695" s="40">
        <f t="shared" si="79"/>
        <v>2.4</v>
      </c>
      <c r="J695" s="31">
        <f>+IFERROR(VLOOKUP(C695,Data,2,FALSE),"Not in weight table")</f>
        <v>32</v>
      </c>
      <c r="K695" s="31">
        <f>+IFERROR(VLOOKUP(C695,Data,3,FALSE),"Not in weight table")</f>
        <v>1.16</v>
      </c>
      <c r="L695" s="44">
        <f t="shared" si="80"/>
        <v>0.0768</v>
      </c>
      <c r="M695" s="42">
        <f t="shared" si="81"/>
        <v>2.784</v>
      </c>
      <c r="N695" s="43" t="s">
        <v>158</v>
      </c>
      <c r="O695" s="43" t="s">
        <v>158</v>
      </c>
      <c r="P695" s="43" t="s">
        <v>158</v>
      </c>
    </row>
    <row r="696" s="11" customFormat="1" spans="1:16">
      <c r="A696" s="32" t="s">
        <v>285</v>
      </c>
      <c r="B696" s="28" t="s">
        <v>214</v>
      </c>
      <c r="C696" s="28" t="s">
        <v>189</v>
      </c>
      <c r="D696" s="33" t="str">
        <f>+IFERROR(VLOOKUP(C696,Data,4,FALSE),"Not in data")</f>
        <v>S</v>
      </c>
      <c r="E696" s="34" t="s">
        <v>149</v>
      </c>
      <c r="F696" s="30">
        <v>1</v>
      </c>
      <c r="G696" s="30">
        <v>2</v>
      </c>
      <c r="H696" s="31">
        <v>8.3</v>
      </c>
      <c r="I696" s="40">
        <f t="shared" si="79"/>
        <v>16.6</v>
      </c>
      <c r="J696" s="31">
        <f>+IFERROR(VLOOKUP(C696,Data,2,FALSE),"Not in weight table")</f>
        <v>22.9</v>
      </c>
      <c r="K696" s="31">
        <f>+IFERROR(VLOOKUP(C696,Data,3,FALSE),"Not in weight table")</f>
        <v>0.668</v>
      </c>
      <c r="L696" s="44">
        <f t="shared" si="80"/>
        <v>0.38014</v>
      </c>
      <c r="M696" s="42">
        <f t="shared" si="81"/>
        <v>11.0888</v>
      </c>
      <c r="N696" s="43" t="s">
        <v>158</v>
      </c>
      <c r="O696" s="43" t="s">
        <v>158</v>
      </c>
      <c r="P696" s="43" t="s">
        <v>158</v>
      </c>
    </row>
    <row r="697" s="11" customFormat="1" spans="1:16">
      <c r="A697" s="32" t="s">
        <v>285</v>
      </c>
      <c r="B697" s="28" t="s">
        <v>214</v>
      </c>
      <c r="C697" s="28" t="s">
        <v>189</v>
      </c>
      <c r="D697" s="33" t="str">
        <f>+IFERROR(VLOOKUP(C697,Data,4,FALSE),"Not in data")</f>
        <v>S</v>
      </c>
      <c r="E697" s="34" t="s">
        <v>149</v>
      </c>
      <c r="F697" s="30">
        <v>1</v>
      </c>
      <c r="G697" s="30">
        <v>2</v>
      </c>
      <c r="H697" s="31">
        <v>8.2</v>
      </c>
      <c r="I697" s="40">
        <f t="shared" si="79"/>
        <v>16.4</v>
      </c>
      <c r="J697" s="31">
        <f>+IFERROR(VLOOKUP(C697,Data,2,FALSE),"Not in weight table")</f>
        <v>22.9</v>
      </c>
      <c r="K697" s="31">
        <f>+IFERROR(VLOOKUP(C697,Data,3,FALSE),"Not in weight table")</f>
        <v>0.668</v>
      </c>
      <c r="L697" s="44">
        <f t="shared" si="80"/>
        <v>0.37556</v>
      </c>
      <c r="M697" s="42">
        <f t="shared" si="81"/>
        <v>10.9552</v>
      </c>
      <c r="N697" s="43" t="s">
        <v>158</v>
      </c>
      <c r="O697" s="43" t="s">
        <v>158</v>
      </c>
      <c r="P697" s="43" t="s">
        <v>158</v>
      </c>
    </row>
    <row r="698" s="11" customFormat="1" spans="1:16">
      <c r="A698" s="32" t="s">
        <v>285</v>
      </c>
      <c r="B698" s="28" t="s">
        <v>215</v>
      </c>
      <c r="C698" s="28" t="s">
        <v>211</v>
      </c>
      <c r="D698" s="33" t="str">
        <f>+IFERROR(VLOOKUP(C698,Data,4,FALSE),"Not in data")</f>
        <v>S</v>
      </c>
      <c r="E698" s="34" t="s">
        <v>149</v>
      </c>
      <c r="F698" s="30">
        <v>1</v>
      </c>
      <c r="G698" s="30">
        <v>2</v>
      </c>
      <c r="H698" s="31">
        <v>7.1</v>
      </c>
      <c r="I698" s="40">
        <f t="shared" si="79"/>
        <v>14.2</v>
      </c>
      <c r="J698" s="31">
        <f>+IFERROR(VLOOKUP(C698,Data,2,FALSE),"Not in weight table")</f>
        <v>14.3</v>
      </c>
      <c r="K698" s="31">
        <f>+IFERROR(VLOOKUP(C698,Data,3,FALSE),"Not in weight table")</f>
        <v>0.471</v>
      </c>
      <c r="L698" s="44">
        <f t="shared" si="80"/>
        <v>0.20306</v>
      </c>
      <c r="M698" s="42">
        <f t="shared" si="81"/>
        <v>6.6882</v>
      </c>
      <c r="N698" s="43" t="s">
        <v>158</v>
      </c>
      <c r="O698" s="43" t="s">
        <v>158</v>
      </c>
      <c r="P698" s="43" t="s">
        <v>158</v>
      </c>
    </row>
    <row r="699" s="11" customFormat="1" spans="1:16">
      <c r="A699" s="32" t="s">
        <v>285</v>
      </c>
      <c r="B699" s="28" t="s">
        <v>215</v>
      </c>
      <c r="C699" s="28" t="s">
        <v>211</v>
      </c>
      <c r="D699" s="33" t="str">
        <f>+IFERROR(VLOOKUP(C699,Data,4,FALSE),"Not in data")</f>
        <v>S</v>
      </c>
      <c r="E699" s="34" t="s">
        <v>149</v>
      </c>
      <c r="F699" s="30">
        <v>1</v>
      </c>
      <c r="G699" s="30">
        <v>2</v>
      </c>
      <c r="H699" s="31">
        <v>6.7</v>
      </c>
      <c r="I699" s="40">
        <f t="shared" si="79"/>
        <v>13.4</v>
      </c>
      <c r="J699" s="31">
        <f>+IFERROR(VLOOKUP(C699,Data,2,FALSE),"Not in weight table")</f>
        <v>14.3</v>
      </c>
      <c r="K699" s="31">
        <f>+IFERROR(VLOOKUP(C699,Data,3,FALSE),"Not in weight table")</f>
        <v>0.471</v>
      </c>
      <c r="L699" s="44">
        <f t="shared" si="80"/>
        <v>0.19162</v>
      </c>
      <c r="M699" s="42">
        <f t="shared" si="81"/>
        <v>6.3114</v>
      </c>
      <c r="N699" s="43" t="s">
        <v>158</v>
      </c>
      <c r="O699" s="43" t="s">
        <v>158</v>
      </c>
      <c r="P699" s="43" t="s">
        <v>158</v>
      </c>
    </row>
    <row r="700" s="11" customFormat="1" spans="1:16">
      <c r="A700" s="32" t="s">
        <v>285</v>
      </c>
      <c r="B700" s="28" t="s">
        <v>196</v>
      </c>
      <c r="C700" s="28" t="s">
        <v>189</v>
      </c>
      <c r="D700" s="33" t="str">
        <f>+IFERROR(VLOOKUP(C700,Data,4,FALSE),"Not in data")</f>
        <v>S</v>
      </c>
      <c r="E700" s="34" t="s">
        <v>149</v>
      </c>
      <c r="F700" s="30">
        <v>1</v>
      </c>
      <c r="G700" s="30">
        <v>4</v>
      </c>
      <c r="H700" s="31">
        <v>7.6</v>
      </c>
      <c r="I700" s="40">
        <f t="shared" si="79"/>
        <v>30.4</v>
      </c>
      <c r="J700" s="31">
        <f>+IFERROR(VLOOKUP(C700,Data,2,FALSE),"Not in weight table")</f>
        <v>22.9</v>
      </c>
      <c r="K700" s="31">
        <f>+IFERROR(VLOOKUP(C700,Data,3,FALSE),"Not in weight table")</f>
        <v>0.668</v>
      </c>
      <c r="L700" s="44">
        <f t="shared" si="80"/>
        <v>0.69616</v>
      </c>
      <c r="M700" s="42">
        <f t="shared" si="81"/>
        <v>20.3072</v>
      </c>
      <c r="N700" s="43" t="s">
        <v>158</v>
      </c>
      <c r="O700" s="43" t="s">
        <v>158</v>
      </c>
      <c r="P700" s="43" t="s">
        <v>158</v>
      </c>
    </row>
    <row r="701" s="11" customFormat="1" spans="1:16">
      <c r="A701" s="32" t="s">
        <v>285</v>
      </c>
      <c r="B701" s="28" t="s">
        <v>196</v>
      </c>
      <c r="C701" s="28" t="s">
        <v>189</v>
      </c>
      <c r="D701" s="33" t="str">
        <f>+IFERROR(VLOOKUP(C701,Data,4,FALSE),"Not in data")</f>
        <v>S</v>
      </c>
      <c r="E701" s="34" t="s">
        <v>149</v>
      </c>
      <c r="F701" s="30">
        <v>1</v>
      </c>
      <c r="G701" s="30">
        <v>1</v>
      </c>
      <c r="H701" s="31">
        <v>3.8</v>
      </c>
      <c r="I701" s="40">
        <f t="shared" si="79"/>
        <v>3.8</v>
      </c>
      <c r="J701" s="31">
        <f>+IFERROR(VLOOKUP(C701,Data,2,FALSE),"Not in weight table")</f>
        <v>22.9</v>
      </c>
      <c r="K701" s="31">
        <f>+IFERROR(VLOOKUP(C701,Data,3,FALSE),"Not in weight table")</f>
        <v>0.668</v>
      </c>
      <c r="L701" s="44">
        <f t="shared" si="80"/>
        <v>0.08702</v>
      </c>
      <c r="M701" s="42">
        <f t="shared" si="81"/>
        <v>2.5384</v>
      </c>
      <c r="N701" s="43" t="s">
        <v>158</v>
      </c>
      <c r="O701" s="43" t="s">
        <v>158</v>
      </c>
      <c r="P701" s="43" t="s">
        <v>158</v>
      </c>
    </row>
    <row r="702" s="11" customFormat="1" spans="1:16">
      <c r="A702" s="32" t="s">
        <v>285</v>
      </c>
      <c r="B702" s="28" t="s">
        <v>196</v>
      </c>
      <c r="C702" s="28" t="s">
        <v>189</v>
      </c>
      <c r="D702" s="33" t="str">
        <f>+IFERROR(VLOOKUP(C702,Data,4,FALSE),"Not in data")</f>
        <v>S</v>
      </c>
      <c r="E702" s="34" t="s">
        <v>149</v>
      </c>
      <c r="F702" s="30">
        <v>1</v>
      </c>
      <c r="G702" s="30">
        <v>1</v>
      </c>
      <c r="H702" s="31">
        <v>3</v>
      </c>
      <c r="I702" s="40">
        <f t="shared" si="79"/>
        <v>3</v>
      </c>
      <c r="J702" s="31">
        <f>+IFERROR(VLOOKUP(C702,Data,2,FALSE),"Not in weight table")</f>
        <v>22.9</v>
      </c>
      <c r="K702" s="31">
        <f>+IFERROR(VLOOKUP(C702,Data,3,FALSE),"Not in weight table")</f>
        <v>0.668</v>
      </c>
      <c r="L702" s="44">
        <f t="shared" si="80"/>
        <v>0.0687</v>
      </c>
      <c r="M702" s="42">
        <f t="shared" si="81"/>
        <v>2.004</v>
      </c>
      <c r="N702" s="43" t="s">
        <v>158</v>
      </c>
      <c r="O702" s="43" t="s">
        <v>158</v>
      </c>
      <c r="P702" s="43" t="s">
        <v>158</v>
      </c>
    </row>
    <row r="703" s="11" customFormat="1" spans="1:16">
      <c r="A703" s="32" t="s">
        <v>285</v>
      </c>
      <c r="B703" s="28" t="s">
        <v>196</v>
      </c>
      <c r="C703" s="28" t="s">
        <v>189</v>
      </c>
      <c r="D703" s="33" t="str">
        <f>+IFERROR(VLOOKUP(C703,Data,4,FALSE),"Not in data")</f>
        <v>S</v>
      </c>
      <c r="E703" s="34" t="s">
        <v>149</v>
      </c>
      <c r="F703" s="30">
        <v>1</v>
      </c>
      <c r="G703" s="30">
        <v>2</v>
      </c>
      <c r="H703" s="31">
        <v>7.7</v>
      </c>
      <c r="I703" s="40">
        <f t="shared" si="79"/>
        <v>15.4</v>
      </c>
      <c r="J703" s="31">
        <f>+IFERROR(VLOOKUP(C703,Data,2,FALSE),"Not in weight table")</f>
        <v>22.9</v>
      </c>
      <c r="K703" s="31">
        <f>+IFERROR(VLOOKUP(C703,Data,3,FALSE),"Not in weight table")</f>
        <v>0.668</v>
      </c>
      <c r="L703" s="44">
        <f t="shared" si="80"/>
        <v>0.35266</v>
      </c>
      <c r="M703" s="42">
        <f t="shared" si="81"/>
        <v>10.2872</v>
      </c>
      <c r="N703" s="43" t="s">
        <v>158</v>
      </c>
      <c r="O703" s="43" t="s">
        <v>158</v>
      </c>
      <c r="P703" s="43" t="s">
        <v>158</v>
      </c>
    </row>
    <row r="704" s="11" customFormat="1" spans="1:16">
      <c r="A704" s="32" t="s">
        <v>285</v>
      </c>
      <c r="B704" s="28" t="s">
        <v>196</v>
      </c>
      <c r="C704" s="28" t="s">
        <v>189</v>
      </c>
      <c r="D704" s="33" t="str">
        <f>+IFERROR(VLOOKUP(C704,Data,4,FALSE),"Not in data")</f>
        <v>S</v>
      </c>
      <c r="E704" s="34" t="s">
        <v>149</v>
      </c>
      <c r="F704" s="30">
        <v>1</v>
      </c>
      <c r="G704" s="30">
        <v>1</v>
      </c>
      <c r="H704" s="31">
        <v>6.2</v>
      </c>
      <c r="I704" s="40">
        <f t="shared" si="79"/>
        <v>6.2</v>
      </c>
      <c r="J704" s="31">
        <f>+IFERROR(VLOOKUP(C704,Data,2,FALSE),"Not in weight table")</f>
        <v>22.9</v>
      </c>
      <c r="K704" s="31">
        <f>+IFERROR(VLOOKUP(C704,Data,3,FALSE),"Not in weight table")</f>
        <v>0.668</v>
      </c>
      <c r="L704" s="44">
        <f t="shared" si="80"/>
        <v>0.14198</v>
      </c>
      <c r="M704" s="42">
        <f t="shared" si="81"/>
        <v>4.1416</v>
      </c>
      <c r="N704" s="43" t="s">
        <v>158</v>
      </c>
      <c r="O704" s="43" t="s">
        <v>158</v>
      </c>
      <c r="P704" s="43" t="s">
        <v>158</v>
      </c>
    </row>
    <row r="705" s="11" customFormat="1" spans="1:16">
      <c r="A705" s="32" t="s">
        <v>285</v>
      </c>
      <c r="B705" s="28" t="s">
        <v>196</v>
      </c>
      <c r="C705" s="28" t="s">
        <v>189</v>
      </c>
      <c r="D705" s="33" t="str">
        <f>+IFERROR(VLOOKUP(C705,Data,4,FALSE),"Not in data")</f>
        <v>S</v>
      </c>
      <c r="E705" s="34" t="s">
        <v>149</v>
      </c>
      <c r="F705" s="30">
        <v>1</v>
      </c>
      <c r="G705" s="30">
        <v>1</v>
      </c>
      <c r="H705" s="31">
        <v>3.9</v>
      </c>
      <c r="I705" s="40">
        <f t="shared" si="79"/>
        <v>3.9</v>
      </c>
      <c r="J705" s="31">
        <f>+IFERROR(VLOOKUP(C705,Data,2,FALSE),"Not in weight table")</f>
        <v>22.9</v>
      </c>
      <c r="K705" s="31">
        <f>+IFERROR(VLOOKUP(C705,Data,3,FALSE),"Not in weight table")</f>
        <v>0.668</v>
      </c>
      <c r="L705" s="44">
        <f t="shared" si="80"/>
        <v>0.08931</v>
      </c>
      <c r="M705" s="42">
        <f t="shared" si="81"/>
        <v>2.6052</v>
      </c>
      <c r="N705" s="43" t="s">
        <v>158</v>
      </c>
      <c r="O705" s="43" t="s">
        <v>158</v>
      </c>
      <c r="P705" s="43" t="s">
        <v>158</v>
      </c>
    </row>
    <row r="706" s="11" customFormat="1" spans="1:16">
      <c r="A706" s="32" t="s">
        <v>285</v>
      </c>
      <c r="B706" s="28" t="s">
        <v>196</v>
      </c>
      <c r="C706" s="28" t="s">
        <v>189</v>
      </c>
      <c r="D706" s="33" t="str">
        <f>+IFERROR(VLOOKUP(C706,Data,4,FALSE),"Not in data")</f>
        <v>S</v>
      </c>
      <c r="E706" s="34" t="s">
        <v>149</v>
      </c>
      <c r="F706" s="30">
        <v>1</v>
      </c>
      <c r="G706" s="30">
        <v>1</v>
      </c>
      <c r="H706" s="31">
        <v>3.6</v>
      </c>
      <c r="I706" s="40">
        <f t="shared" si="79"/>
        <v>3.6</v>
      </c>
      <c r="J706" s="31">
        <f>+IFERROR(VLOOKUP(C706,Data,2,FALSE),"Not in weight table")</f>
        <v>22.9</v>
      </c>
      <c r="K706" s="31">
        <f>+IFERROR(VLOOKUP(C706,Data,3,FALSE),"Not in weight table")</f>
        <v>0.668</v>
      </c>
      <c r="L706" s="44">
        <f t="shared" si="80"/>
        <v>0.08244</v>
      </c>
      <c r="M706" s="42">
        <f t="shared" si="81"/>
        <v>2.4048</v>
      </c>
      <c r="N706" s="43" t="s">
        <v>158</v>
      </c>
      <c r="O706" s="43" t="s">
        <v>158</v>
      </c>
      <c r="P706" s="43" t="s">
        <v>158</v>
      </c>
    </row>
    <row r="707" s="11" customFormat="1" spans="1:16">
      <c r="A707" s="32" t="s">
        <v>285</v>
      </c>
      <c r="B707" s="28" t="s">
        <v>196</v>
      </c>
      <c r="C707" s="28" t="s">
        <v>189</v>
      </c>
      <c r="D707" s="33" t="str">
        <f>+IFERROR(VLOOKUP(C707,Data,4,FALSE),"Not in data")</f>
        <v>S</v>
      </c>
      <c r="E707" s="34" t="s">
        <v>149</v>
      </c>
      <c r="F707" s="30">
        <v>1</v>
      </c>
      <c r="G707" s="30">
        <v>1</v>
      </c>
      <c r="H707" s="31">
        <v>5.1</v>
      </c>
      <c r="I707" s="40">
        <f t="shared" si="79"/>
        <v>5.1</v>
      </c>
      <c r="J707" s="31">
        <f>+IFERROR(VLOOKUP(C707,Data,2,FALSE),"Not in weight table")</f>
        <v>22.9</v>
      </c>
      <c r="K707" s="31">
        <f>+IFERROR(VLOOKUP(C707,Data,3,FALSE),"Not in weight table")</f>
        <v>0.668</v>
      </c>
      <c r="L707" s="44">
        <f t="shared" si="80"/>
        <v>0.11679</v>
      </c>
      <c r="M707" s="42">
        <f t="shared" si="81"/>
        <v>3.4068</v>
      </c>
      <c r="N707" s="43" t="s">
        <v>158</v>
      </c>
      <c r="O707" s="43" t="s">
        <v>158</v>
      </c>
      <c r="P707" s="43" t="s">
        <v>158</v>
      </c>
    </row>
    <row r="708" s="11" customFormat="1" spans="1:16">
      <c r="A708" s="32" t="s">
        <v>285</v>
      </c>
      <c r="B708" s="28" t="s">
        <v>196</v>
      </c>
      <c r="C708" s="28" t="s">
        <v>189</v>
      </c>
      <c r="D708" s="33" t="str">
        <f>+IFERROR(VLOOKUP(C708,Data,4,FALSE),"Not in data")</f>
        <v>S</v>
      </c>
      <c r="E708" s="34" t="s">
        <v>149</v>
      </c>
      <c r="F708" s="30">
        <v>1</v>
      </c>
      <c r="G708" s="30">
        <v>1</v>
      </c>
      <c r="H708" s="31">
        <v>20.3</v>
      </c>
      <c r="I708" s="40">
        <f t="shared" si="79"/>
        <v>20.3</v>
      </c>
      <c r="J708" s="31">
        <f>+IFERROR(VLOOKUP(C708,Data,2,FALSE),"Not in weight table")</f>
        <v>22.9</v>
      </c>
      <c r="K708" s="31">
        <f>+IFERROR(VLOOKUP(C708,Data,3,FALSE),"Not in weight table")</f>
        <v>0.668</v>
      </c>
      <c r="L708" s="44">
        <f t="shared" si="80"/>
        <v>0.46487</v>
      </c>
      <c r="M708" s="42">
        <f t="shared" si="81"/>
        <v>13.5604</v>
      </c>
      <c r="N708" s="43" t="s">
        <v>158</v>
      </c>
      <c r="O708" s="43" t="s">
        <v>158</v>
      </c>
      <c r="P708" s="43" t="s">
        <v>158</v>
      </c>
    </row>
    <row r="709" s="11" customFormat="1" spans="1:16">
      <c r="A709" s="32" t="s">
        <v>285</v>
      </c>
      <c r="B709" s="28" t="s">
        <v>205</v>
      </c>
      <c r="C709" s="28" t="s">
        <v>189</v>
      </c>
      <c r="D709" s="33" t="str">
        <f>+IFERROR(VLOOKUP(C709,Data,4,FALSE),"Not in data")</f>
        <v>S</v>
      </c>
      <c r="E709" s="34" t="s">
        <v>149</v>
      </c>
      <c r="F709" s="30">
        <v>1</v>
      </c>
      <c r="G709" s="30">
        <v>1</v>
      </c>
      <c r="H709" s="31">
        <v>5.2</v>
      </c>
      <c r="I709" s="40">
        <f t="shared" si="79"/>
        <v>5.2</v>
      </c>
      <c r="J709" s="31">
        <f>+IFERROR(VLOOKUP(C709,Data,2,FALSE),"Not in weight table")</f>
        <v>22.9</v>
      </c>
      <c r="K709" s="31">
        <f>+IFERROR(VLOOKUP(C709,Data,3,FALSE),"Not in weight table")</f>
        <v>0.668</v>
      </c>
      <c r="L709" s="44">
        <f t="shared" si="80"/>
        <v>0.11908</v>
      </c>
      <c r="M709" s="42">
        <f t="shared" si="81"/>
        <v>3.4736</v>
      </c>
      <c r="N709" s="43" t="s">
        <v>158</v>
      </c>
      <c r="O709" s="43" t="s">
        <v>158</v>
      </c>
      <c r="P709" s="43" t="s">
        <v>158</v>
      </c>
    </row>
    <row r="710" s="11" customFormat="1" spans="1:16">
      <c r="A710" s="32" t="s">
        <v>285</v>
      </c>
      <c r="B710" s="28" t="s">
        <v>212</v>
      </c>
      <c r="C710" s="28" t="s">
        <v>213</v>
      </c>
      <c r="D710" s="33" t="str">
        <f>+IFERROR(VLOOKUP(C710,Data,4,FALSE),"Not in data")</f>
        <v>S</v>
      </c>
      <c r="E710" s="34" t="s">
        <v>149</v>
      </c>
      <c r="F710" s="30">
        <v>1</v>
      </c>
      <c r="G710" s="30">
        <v>1</v>
      </c>
      <c r="H710" s="31">
        <v>2.7</v>
      </c>
      <c r="I710" s="40">
        <f t="shared" si="79"/>
        <v>2.7</v>
      </c>
      <c r="J710" s="31">
        <f>+IFERROR(VLOOKUP(C710,Data,2,FALSE),"Not in weight table")</f>
        <v>53.7</v>
      </c>
      <c r="K710" s="31">
        <f>+IFERROR(VLOOKUP(C710,Data,3,FALSE),"Not in weight table")</f>
        <v>1.48</v>
      </c>
      <c r="L710" s="44">
        <f t="shared" si="80"/>
        <v>0.14499</v>
      </c>
      <c r="M710" s="42">
        <f t="shared" si="81"/>
        <v>3.996</v>
      </c>
      <c r="N710" s="43" t="s">
        <v>158</v>
      </c>
      <c r="O710" s="43" t="s">
        <v>158</v>
      </c>
      <c r="P710" s="43" t="s">
        <v>158</v>
      </c>
    </row>
    <row r="711" s="11" customFormat="1" spans="1:16">
      <c r="A711" s="32" t="s">
        <v>285</v>
      </c>
      <c r="B711" s="28" t="s">
        <v>197</v>
      </c>
      <c r="C711" s="28" t="s">
        <v>198</v>
      </c>
      <c r="D711" s="33" t="str">
        <f>+IFERROR(VLOOKUP(C711,Data,4,FALSE),"Not in data")</f>
        <v>S</v>
      </c>
      <c r="E711" s="34" t="s">
        <v>149</v>
      </c>
      <c r="F711" s="30">
        <v>1</v>
      </c>
      <c r="G711" s="30">
        <v>22</v>
      </c>
      <c r="H711" s="31">
        <v>1.5</v>
      </c>
      <c r="I711" s="40">
        <f t="shared" ref="I711:I715" si="82">+IF(F711&lt;&gt;"",F711*G711*H711,0)</f>
        <v>33</v>
      </c>
      <c r="J711" s="31">
        <f>+IFERROR(VLOOKUP(C711,Data,2,FALSE),"Not in weight table")</f>
        <v>8.73</v>
      </c>
      <c r="K711" s="31">
        <f>+IFERROR(VLOOKUP(C711,Data,3,FALSE),"Not in weight table")</f>
        <v>0.292</v>
      </c>
      <c r="L711" s="44">
        <f t="shared" ref="L711:L715" si="83">+IF(ISNUMBER(J711),I711*J711/1000,0)</f>
        <v>0.28809</v>
      </c>
      <c r="M711" s="42">
        <f t="shared" ref="M711:M715" si="84">+IF(ISNUMBER(K711),I711*K711,0)</f>
        <v>9.636</v>
      </c>
      <c r="N711" s="43" t="s">
        <v>158</v>
      </c>
      <c r="O711" s="43" t="s">
        <v>158</v>
      </c>
      <c r="P711" s="43" t="s">
        <v>158</v>
      </c>
    </row>
    <row r="712" s="11" customFormat="1" spans="1:16">
      <c r="A712" s="32" t="s">
        <v>285</v>
      </c>
      <c r="B712" s="28" t="s">
        <v>205</v>
      </c>
      <c r="C712" s="28" t="s">
        <v>189</v>
      </c>
      <c r="D712" s="33" t="str">
        <f>+IFERROR(VLOOKUP(C712,Data,4,FALSE),"Not in data")</f>
        <v>S</v>
      </c>
      <c r="E712" s="34" t="s">
        <v>149</v>
      </c>
      <c r="F712" s="30">
        <v>1</v>
      </c>
      <c r="G712" s="30">
        <v>1</v>
      </c>
      <c r="H712" s="31">
        <v>4.7</v>
      </c>
      <c r="I712" s="40">
        <f t="shared" si="82"/>
        <v>4.7</v>
      </c>
      <c r="J712" s="31">
        <f>+IFERROR(VLOOKUP(C712,Data,2,FALSE),"Not in weight table")</f>
        <v>22.9</v>
      </c>
      <c r="K712" s="31">
        <f>+IFERROR(VLOOKUP(C712,Data,3,FALSE),"Not in weight table")</f>
        <v>0.668</v>
      </c>
      <c r="L712" s="44">
        <f t="shared" si="83"/>
        <v>0.10763</v>
      </c>
      <c r="M712" s="42">
        <f t="shared" si="84"/>
        <v>3.1396</v>
      </c>
      <c r="N712" s="43" t="s">
        <v>158</v>
      </c>
      <c r="O712" s="43" t="s">
        <v>158</v>
      </c>
      <c r="P712" s="43" t="s">
        <v>158</v>
      </c>
    </row>
    <row r="713" s="11" customFormat="1" spans="1:16">
      <c r="A713" s="32" t="s">
        <v>285</v>
      </c>
      <c r="B713" s="28" t="s">
        <v>205</v>
      </c>
      <c r="C713" s="28" t="s">
        <v>189</v>
      </c>
      <c r="D713" s="33" t="str">
        <f>+IFERROR(VLOOKUP(C713,Data,4,FALSE),"Not in data")</f>
        <v>S</v>
      </c>
      <c r="E713" s="34" t="s">
        <v>149</v>
      </c>
      <c r="F713" s="30">
        <v>1</v>
      </c>
      <c r="G713" s="30">
        <v>1</v>
      </c>
      <c r="H713" s="31">
        <v>3.3</v>
      </c>
      <c r="I713" s="40">
        <f t="shared" si="82"/>
        <v>3.3</v>
      </c>
      <c r="J713" s="31">
        <f>+IFERROR(VLOOKUP(C713,Data,2,FALSE),"Not in weight table")</f>
        <v>22.9</v>
      </c>
      <c r="K713" s="31">
        <f>+IFERROR(VLOOKUP(C713,Data,3,FALSE),"Not in weight table")</f>
        <v>0.668</v>
      </c>
      <c r="L713" s="44">
        <f t="shared" si="83"/>
        <v>0.07557</v>
      </c>
      <c r="M713" s="42">
        <f t="shared" si="84"/>
        <v>2.2044</v>
      </c>
      <c r="N713" s="43" t="s">
        <v>158</v>
      </c>
      <c r="O713" s="43" t="s">
        <v>158</v>
      </c>
      <c r="P713" s="43" t="s">
        <v>158</v>
      </c>
    </row>
    <row r="714" s="11" customFormat="1" spans="1:16">
      <c r="A714" s="32" t="s">
        <v>285</v>
      </c>
      <c r="B714" s="28" t="s">
        <v>205</v>
      </c>
      <c r="C714" s="28" t="s">
        <v>189</v>
      </c>
      <c r="D714" s="33" t="str">
        <f>+IFERROR(VLOOKUP(C714,Data,4,FALSE),"Not in data")</f>
        <v>S</v>
      </c>
      <c r="E714" s="34" t="s">
        <v>149</v>
      </c>
      <c r="F714" s="30">
        <v>1</v>
      </c>
      <c r="G714" s="30">
        <v>1</v>
      </c>
      <c r="H714" s="31">
        <v>1</v>
      </c>
      <c r="I714" s="40">
        <f t="shared" si="82"/>
        <v>1</v>
      </c>
      <c r="J714" s="31">
        <f>+IFERROR(VLOOKUP(C714,Data,2,FALSE),"Not in weight table")</f>
        <v>22.9</v>
      </c>
      <c r="K714" s="31">
        <f>+IFERROR(VLOOKUP(C714,Data,3,FALSE),"Not in weight table")</f>
        <v>0.668</v>
      </c>
      <c r="L714" s="44">
        <f t="shared" si="83"/>
        <v>0.0229</v>
      </c>
      <c r="M714" s="42">
        <f t="shared" si="84"/>
        <v>0.668</v>
      </c>
      <c r="N714" s="43" t="s">
        <v>158</v>
      </c>
      <c r="O714" s="43" t="s">
        <v>158</v>
      </c>
      <c r="P714" s="43" t="s">
        <v>158</v>
      </c>
    </row>
    <row r="715" s="11" customFormat="1" spans="1:16">
      <c r="A715" s="32" t="s">
        <v>285</v>
      </c>
      <c r="B715" s="28" t="s">
        <v>221</v>
      </c>
      <c r="C715" s="28" t="s">
        <v>222</v>
      </c>
      <c r="D715" s="33" t="str">
        <f>+IFERROR(VLOOKUP(C715,Data,4,FALSE),"Not in data")</f>
        <v>Not in data</v>
      </c>
      <c r="E715" s="34" t="s">
        <v>148</v>
      </c>
      <c r="F715" s="30">
        <v>1</v>
      </c>
      <c r="G715" s="30">
        <v>4</v>
      </c>
      <c r="H715" s="31">
        <v>3.1</v>
      </c>
      <c r="I715" s="40">
        <f t="shared" si="82"/>
        <v>12.4</v>
      </c>
      <c r="J715" s="31" t="str">
        <f>+IFERROR(VLOOKUP(C715,Data,2,FALSE),"Not in weight table")</f>
        <v>Not in weight table</v>
      </c>
      <c r="K715" s="31" t="str">
        <f>+IFERROR(VLOOKUP(C715,Data,3,FALSE),"Not in weight table")</f>
        <v>Not in weight table</v>
      </c>
      <c r="L715" s="44">
        <f t="shared" si="83"/>
        <v>0</v>
      </c>
      <c r="M715" s="42">
        <f t="shared" si="84"/>
        <v>0</v>
      </c>
      <c r="N715" s="43" t="s">
        <v>158</v>
      </c>
      <c r="O715" s="43" t="s">
        <v>158</v>
      </c>
      <c r="P715" s="43" t="s">
        <v>158</v>
      </c>
    </row>
    <row r="716" s="11" customFormat="1" spans="1:16">
      <c r="A716" s="32" t="s">
        <v>281</v>
      </c>
      <c r="B716" s="28" t="s">
        <v>220</v>
      </c>
      <c r="C716" s="28" t="s">
        <v>219</v>
      </c>
      <c r="D716" s="33" t="s">
        <v>136</v>
      </c>
      <c r="E716" s="34" t="s">
        <v>148</v>
      </c>
      <c r="F716" s="30">
        <v>1</v>
      </c>
      <c r="G716" s="30">
        <v>22</v>
      </c>
      <c r="H716" s="31">
        <v>10.2</v>
      </c>
      <c r="I716" s="40">
        <v>16.8</v>
      </c>
      <c r="J716" s="31" t="s">
        <v>283</v>
      </c>
      <c r="K716" s="31" t="s">
        <v>283</v>
      </c>
      <c r="L716" s="44">
        <v>0</v>
      </c>
      <c r="M716" s="42">
        <v>0</v>
      </c>
      <c r="N716" s="43" t="s">
        <v>158</v>
      </c>
      <c r="O716" s="43" t="s">
        <v>158</v>
      </c>
      <c r="P716" s="43" t="s">
        <v>158</v>
      </c>
    </row>
    <row r="717" s="11" customFormat="1" spans="1:16">
      <c r="A717" s="32" t="s">
        <v>281</v>
      </c>
      <c r="B717" s="28" t="s">
        <v>220</v>
      </c>
      <c r="C717" s="28" t="s">
        <v>219</v>
      </c>
      <c r="D717" s="33" t="s">
        <v>136</v>
      </c>
      <c r="E717" s="34" t="s">
        <v>148</v>
      </c>
      <c r="F717" s="30">
        <v>1</v>
      </c>
      <c r="G717" s="30">
        <v>22</v>
      </c>
      <c r="H717" s="31">
        <v>10.1</v>
      </c>
      <c r="I717" s="40">
        <v>16.8</v>
      </c>
      <c r="J717" s="31" t="s">
        <v>283</v>
      </c>
      <c r="K717" s="31" t="s">
        <v>283</v>
      </c>
      <c r="L717" s="44">
        <v>0</v>
      </c>
      <c r="M717" s="42">
        <v>0</v>
      </c>
      <c r="N717" s="43" t="s">
        <v>158</v>
      </c>
      <c r="O717" s="43" t="s">
        <v>158</v>
      </c>
      <c r="P717" s="43" t="s">
        <v>158</v>
      </c>
    </row>
    <row r="718" s="11" customFormat="1" spans="1:16">
      <c r="A718" s="32" t="s">
        <v>281</v>
      </c>
      <c r="B718" s="28" t="s">
        <v>220</v>
      </c>
      <c r="C718" s="28" t="s">
        <v>219</v>
      </c>
      <c r="D718" s="33" t="s">
        <v>136</v>
      </c>
      <c r="E718" s="34" t="s">
        <v>148</v>
      </c>
      <c r="F718" s="30">
        <v>1</v>
      </c>
      <c r="G718" s="30">
        <v>16</v>
      </c>
      <c r="H718" s="31">
        <v>4.3</v>
      </c>
      <c r="I718" s="40">
        <v>16.8</v>
      </c>
      <c r="J718" s="31" t="s">
        <v>283</v>
      </c>
      <c r="K718" s="31" t="s">
        <v>283</v>
      </c>
      <c r="L718" s="44">
        <v>0</v>
      </c>
      <c r="M718" s="42">
        <v>0</v>
      </c>
      <c r="N718" s="43" t="s">
        <v>158</v>
      </c>
      <c r="O718" s="43" t="s">
        <v>158</v>
      </c>
      <c r="P718" s="43" t="s">
        <v>158</v>
      </c>
    </row>
    <row r="719" s="11" customFormat="1" spans="1:16">
      <c r="A719" s="32" t="s">
        <v>281</v>
      </c>
      <c r="B719" s="28" t="s">
        <v>220</v>
      </c>
      <c r="C719" s="28" t="s">
        <v>219</v>
      </c>
      <c r="D719" s="33" t="s">
        <v>136</v>
      </c>
      <c r="E719" s="34" t="s">
        <v>148</v>
      </c>
      <c r="F719" s="30">
        <v>1</v>
      </c>
      <c r="G719" s="30">
        <v>16</v>
      </c>
      <c r="H719" s="31">
        <v>8.6</v>
      </c>
      <c r="I719" s="40">
        <v>16.8</v>
      </c>
      <c r="J719" s="31" t="s">
        <v>283</v>
      </c>
      <c r="K719" s="31" t="s">
        <v>283</v>
      </c>
      <c r="L719" s="44">
        <v>0</v>
      </c>
      <c r="M719" s="42">
        <v>0</v>
      </c>
      <c r="N719" s="43" t="s">
        <v>158</v>
      </c>
      <c r="O719" s="43" t="s">
        <v>158</v>
      </c>
      <c r="P719" s="43" t="s">
        <v>158</v>
      </c>
    </row>
    <row r="720" s="11" customFormat="1" spans="1:16">
      <c r="A720" s="32" t="s">
        <v>281</v>
      </c>
      <c r="B720" s="28" t="s">
        <v>220</v>
      </c>
      <c r="C720" s="28" t="s">
        <v>219</v>
      </c>
      <c r="D720" s="33" t="s">
        <v>136</v>
      </c>
      <c r="E720" s="34" t="s">
        <v>148</v>
      </c>
      <c r="F720" s="30">
        <v>1</v>
      </c>
      <c r="G720" s="30">
        <v>16</v>
      </c>
      <c r="H720" s="31">
        <v>8.5</v>
      </c>
      <c r="I720" s="40">
        <v>16.8</v>
      </c>
      <c r="J720" s="31" t="s">
        <v>283</v>
      </c>
      <c r="K720" s="31" t="s">
        <v>283</v>
      </c>
      <c r="L720" s="44">
        <v>0</v>
      </c>
      <c r="M720" s="42">
        <v>0</v>
      </c>
      <c r="N720" s="43" t="s">
        <v>158</v>
      </c>
      <c r="O720" s="43" t="s">
        <v>158</v>
      </c>
      <c r="P720" s="43" t="s">
        <v>158</v>
      </c>
    </row>
    <row r="721" s="11" customFormat="1" spans="1:16">
      <c r="A721" s="32" t="s">
        <v>281</v>
      </c>
      <c r="B721" s="28" t="s">
        <v>220</v>
      </c>
      <c r="C721" s="28" t="s">
        <v>219</v>
      </c>
      <c r="D721" s="33" t="s">
        <v>136</v>
      </c>
      <c r="E721" s="34" t="s">
        <v>148</v>
      </c>
      <c r="F721" s="30">
        <v>1</v>
      </c>
      <c r="G721" s="30">
        <v>16</v>
      </c>
      <c r="H721" s="31">
        <v>8.3</v>
      </c>
      <c r="I721" s="40">
        <v>16.8</v>
      </c>
      <c r="J721" s="31" t="s">
        <v>283</v>
      </c>
      <c r="K721" s="31" t="s">
        <v>283</v>
      </c>
      <c r="L721" s="44">
        <v>0</v>
      </c>
      <c r="M721" s="42">
        <v>0</v>
      </c>
      <c r="N721" s="43" t="s">
        <v>158</v>
      </c>
      <c r="O721" s="43" t="s">
        <v>158</v>
      </c>
      <c r="P721" s="43" t="s">
        <v>158</v>
      </c>
    </row>
    <row r="722" s="11" customFormat="1" spans="1:16">
      <c r="A722" s="32" t="s">
        <v>281</v>
      </c>
      <c r="B722" s="28" t="s">
        <v>220</v>
      </c>
      <c r="C722" s="28" t="s">
        <v>219</v>
      </c>
      <c r="D722" s="33" t="s">
        <v>136</v>
      </c>
      <c r="E722" s="34" t="s">
        <v>148</v>
      </c>
      <c r="F722" s="30">
        <v>1</v>
      </c>
      <c r="G722" s="30">
        <v>16</v>
      </c>
      <c r="H722" s="31">
        <v>3.6</v>
      </c>
      <c r="I722" s="40">
        <v>16.8</v>
      </c>
      <c r="J722" s="31" t="s">
        <v>283</v>
      </c>
      <c r="K722" s="31" t="s">
        <v>283</v>
      </c>
      <c r="L722" s="44">
        <v>0</v>
      </c>
      <c r="M722" s="42">
        <v>0</v>
      </c>
      <c r="N722" s="43" t="s">
        <v>158</v>
      </c>
      <c r="O722" s="43" t="s">
        <v>158</v>
      </c>
      <c r="P722" s="43" t="s">
        <v>158</v>
      </c>
    </row>
    <row r="723" s="11" customFormat="1" spans="1:16">
      <c r="A723" s="32" t="s">
        <v>281</v>
      </c>
      <c r="B723" s="28" t="s">
        <v>220</v>
      </c>
      <c r="C723" s="28" t="s">
        <v>219</v>
      </c>
      <c r="D723" s="33" t="s">
        <v>136</v>
      </c>
      <c r="E723" s="34" t="s">
        <v>148</v>
      </c>
      <c r="F723" s="30">
        <v>1</v>
      </c>
      <c r="G723" s="30">
        <v>16</v>
      </c>
      <c r="H723" s="31">
        <v>7.5</v>
      </c>
      <c r="I723" s="40">
        <v>16.8</v>
      </c>
      <c r="J723" s="31" t="s">
        <v>283</v>
      </c>
      <c r="K723" s="31" t="s">
        <v>283</v>
      </c>
      <c r="L723" s="44">
        <v>0</v>
      </c>
      <c r="M723" s="42">
        <v>0</v>
      </c>
      <c r="N723" s="43" t="s">
        <v>158</v>
      </c>
      <c r="O723" s="43" t="s">
        <v>158</v>
      </c>
      <c r="P723" s="43" t="s">
        <v>158</v>
      </c>
    </row>
    <row r="724" s="11" customFormat="1" spans="1:16">
      <c r="A724" s="32" t="s">
        <v>281</v>
      </c>
      <c r="B724" s="28" t="s">
        <v>218</v>
      </c>
      <c r="C724" s="28" t="s">
        <v>219</v>
      </c>
      <c r="D724" s="33" t="s">
        <v>136</v>
      </c>
      <c r="E724" s="34" t="s">
        <v>148</v>
      </c>
      <c r="F724" s="30">
        <v>1</v>
      </c>
      <c r="G724" s="30">
        <v>11</v>
      </c>
      <c r="H724" s="31">
        <v>4.2</v>
      </c>
      <c r="I724" s="40">
        <v>16.8</v>
      </c>
      <c r="J724" s="31" t="s">
        <v>283</v>
      </c>
      <c r="K724" s="31" t="s">
        <v>283</v>
      </c>
      <c r="L724" s="44">
        <v>0</v>
      </c>
      <c r="M724" s="42">
        <v>0</v>
      </c>
      <c r="N724" s="43" t="s">
        <v>158</v>
      </c>
      <c r="O724" s="43" t="s">
        <v>158</v>
      </c>
      <c r="P724" s="43" t="s">
        <v>158</v>
      </c>
    </row>
    <row r="725" s="11" customFormat="1" spans="1:16">
      <c r="A725" s="32" t="s">
        <v>281</v>
      </c>
      <c r="B725" s="28" t="s">
        <v>218</v>
      </c>
      <c r="C725" s="28" t="s">
        <v>219</v>
      </c>
      <c r="D725" s="33" t="s">
        <v>136</v>
      </c>
      <c r="E725" s="34" t="s">
        <v>148</v>
      </c>
      <c r="F725" s="30">
        <v>1</v>
      </c>
      <c r="G725" s="30">
        <v>11</v>
      </c>
      <c r="H725" s="31">
        <v>8.5</v>
      </c>
      <c r="I725" s="40">
        <v>16.8</v>
      </c>
      <c r="J725" s="31" t="s">
        <v>283</v>
      </c>
      <c r="K725" s="31" t="s">
        <v>283</v>
      </c>
      <c r="L725" s="44">
        <v>0</v>
      </c>
      <c r="M725" s="42">
        <v>0</v>
      </c>
      <c r="N725" s="43" t="s">
        <v>158</v>
      </c>
      <c r="O725" s="43" t="s">
        <v>158</v>
      </c>
      <c r="P725" s="43" t="s">
        <v>158</v>
      </c>
    </row>
    <row r="726" s="11" customFormat="1" spans="1:16">
      <c r="A726" s="32" t="s">
        <v>281</v>
      </c>
      <c r="B726" s="28" t="s">
        <v>218</v>
      </c>
      <c r="C726" s="28" t="s">
        <v>219</v>
      </c>
      <c r="D726" s="33" t="s">
        <v>136</v>
      </c>
      <c r="E726" s="34" t="s">
        <v>148</v>
      </c>
      <c r="F726" s="30">
        <v>1</v>
      </c>
      <c r="G726" s="30">
        <v>8</v>
      </c>
      <c r="H726" s="31">
        <v>8</v>
      </c>
      <c r="I726" s="40">
        <v>16.8</v>
      </c>
      <c r="J726" s="31" t="s">
        <v>283</v>
      </c>
      <c r="K726" s="31" t="s">
        <v>283</v>
      </c>
      <c r="L726" s="44">
        <v>0</v>
      </c>
      <c r="M726" s="42">
        <v>0</v>
      </c>
      <c r="N726" s="43" t="s">
        <v>158</v>
      </c>
      <c r="O726" s="43" t="s">
        <v>158</v>
      </c>
      <c r="P726" s="43" t="s">
        <v>158</v>
      </c>
    </row>
    <row r="727" s="11" customFormat="1" spans="1:16">
      <c r="A727" s="32" t="s">
        <v>281</v>
      </c>
      <c r="B727" s="28" t="s">
        <v>218</v>
      </c>
      <c r="C727" s="28" t="s">
        <v>219</v>
      </c>
      <c r="D727" s="33" t="s">
        <v>136</v>
      </c>
      <c r="E727" s="34" t="s">
        <v>148</v>
      </c>
      <c r="F727" s="30">
        <v>1</v>
      </c>
      <c r="G727" s="30">
        <v>8</v>
      </c>
      <c r="H727" s="31">
        <v>8</v>
      </c>
      <c r="I727" s="40">
        <v>16.8</v>
      </c>
      <c r="J727" s="31" t="s">
        <v>283</v>
      </c>
      <c r="K727" s="31" t="s">
        <v>283</v>
      </c>
      <c r="L727" s="44">
        <v>0</v>
      </c>
      <c r="M727" s="42">
        <v>0</v>
      </c>
      <c r="N727" s="43" t="s">
        <v>158</v>
      </c>
      <c r="O727" s="43" t="s">
        <v>158</v>
      </c>
      <c r="P727" s="43" t="s">
        <v>158</v>
      </c>
    </row>
    <row r="728" s="11" customFormat="1" spans="1:16">
      <c r="A728" s="32" t="s">
        <v>281</v>
      </c>
      <c r="B728" s="28" t="s">
        <v>218</v>
      </c>
      <c r="C728" s="28" t="s">
        <v>219</v>
      </c>
      <c r="D728" s="33" t="s">
        <v>136</v>
      </c>
      <c r="E728" s="34" t="s">
        <v>148</v>
      </c>
      <c r="F728" s="30">
        <v>1</v>
      </c>
      <c r="G728" s="30">
        <v>8</v>
      </c>
      <c r="H728" s="31">
        <v>8.1</v>
      </c>
      <c r="I728" s="40">
        <v>16.8</v>
      </c>
      <c r="J728" s="31" t="s">
        <v>283</v>
      </c>
      <c r="K728" s="31" t="s">
        <v>283</v>
      </c>
      <c r="L728" s="44">
        <v>0</v>
      </c>
      <c r="M728" s="42">
        <v>0</v>
      </c>
      <c r="N728" s="43" t="s">
        <v>158</v>
      </c>
      <c r="O728" s="43" t="s">
        <v>158</v>
      </c>
      <c r="P728" s="43" t="s">
        <v>158</v>
      </c>
    </row>
    <row r="729" s="11" customFormat="1" spans="1:16">
      <c r="A729" s="32" t="s">
        <v>281</v>
      </c>
      <c r="B729" s="28" t="s">
        <v>218</v>
      </c>
      <c r="C729" s="28" t="s">
        <v>219</v>
      </c>
      <c r="D729" s="33" t="s">
        <v>136</v>
      </c>
      <c r="E729" s="34" t="s">
        <v>148</v>
      </c>
      <c r="F729" s="30">
        <v>1</v>
      </c>
      <c r="G729" s="30">
        <v>10</v>
      </c>
      <c r="H729" s="31">
        <v>4.2</v>
      </c>
      <c r="I729" s="40">
        <v>16.8</v>
      </c>
      <c r="J729" s="31" t="s">
        <v>283</v>
      </c>
      <c r="K729" s="31" t="s">
        <v>283</v>
      </c>
      <c r="L729" s="44">
        <v>0</v>
      </c>
      <c r="M729" s="42">
        <v>0</v>
      </c>
      <c r="N729" s="43" t="s">
        <v>158</v>
      </c>
      <c r="O729" s="43" t="s">
        <v>158</v>
      </c>
      <c r="P729" s="43" t="s">
        <v>158</v>
      </c>
    </row>
    <row r="730" s="11" customFormat="1" spans="1:16">
      <c r="A730" s="32" t="s">
        <v>281</v>
      </c>
      <c r="B730" s="28" t="s">
        <v>218</v>
      </c>
      <c r="C730" s="28" t="s">
        <v>219</v>
      </c>
      <c r="D730" s="33" t="s">
        <v>136</v>
      </c>
      <c r="E730" s="34" t="s">
        <v>148</v>
      </c>
      <c r="F730" s="30">
        <v>1</v>
      </c>
      <c r="G730" s="30">
        <v>10</v>
      </c>
      <c r="H730" s="31">
        <v>8.2</v>
      </c>
      <c r="I730" s="40">
        <v>16.8</v>
      </c>
      <c r="J730" s="31" t="s">
        <v>283</v>
      </c>
      <c r="K730" s="31" t="s">
        <v>283</v>
      </c>
      <c r="L730" s="44">
        <v>0</v>
      </c>
      <c r="M730" s="42">
        <v>0</v>
      </c>
      <c r="N730" s="43" t="s">
        <v>158</v>
      </c>
      <c r="O730" s="43" t="s">
        <v>158</v>
      </c>
      <c r="P730" s="43" t="s">
        <v>158</v>
      </c>
    </row>
    <row r="731" s="11" customFormat="1" spans="1:16">
      <c r="A731" s="32" t="s">
        <v>281</v>
      </c>
      <c r="B731" s="28" t="s">
        <v>218</v>
      </c>
      <c r="C731" s="28" t="s">
        <v>219</v>
      </c>
      <c r="D731" s="33" t="s">
        <v>136</v>
      </c>
      <c r="E731" s="34" t="s">
        <v>148</v>
      </c>
      <c r="F731" s="30">
        <v>1</v>
      </c>
      <c r="G731" s="30">
        <v>10</v>
      </c>
      <c r="H731" s="31">
        <v>7.1</v>
      </c>
      <c r="I731" s="40">
        <v>16.8</v>
      </c>
      <c r="J731" s="31" t="s">
        <v>283</v>
      </c>
      <c r="K731" s="31" t="s">
        <v>283</v>
      </c>
      <c r="L731" s="44">
        <v>0</v>
      </c>
      <c r="M731" s="42">
        <v>0</v>
      </c>
      <c r="N731" s="43" t="s">
        <v>158</v>
      </c>
      <c r="O731" s="43" t="s">
        <v>158</v>
      </c>
      <c r="P731" s="43" t="s">
        <v>158</v>
      </c>
    </row>
    <row r="732" s="11" customFormat="1" spans="1:16">
      <c r="A732" s="32" t="s">
        <v>281</v>
      </c>
      <c r="B732" s="28" t="s">
        <v>218</v>
      </c>
      <c r="C732" s="28" t="s">
        <v>219</v>
      </c>
      <c r="D732" s="33" t="s">
        <v>136</v>
      </c>
      <c r="E732" s="34" t="s">
        <v>148</v>
      </c>
      <c r="F732" s="30">
        <v>1</v>
      </c>
      <c r="G732" s="30">
        <v>20</v>
      </c>
      <c r="H732" s="31">
        <v>8</v>
      </c>
      <c r="I732" s="40">
        <v>16.8</v>
      </c>
      <c r="J732" s="31" t="s">
        <v>283</v>
      </c>
      <c r="K732" s="31" t="s">
        <v>283</v>
      </c>
      <c r="L732" s="44">
        <v>0</v>
      </c>
      <c r="M732" s="42">
        <v>0</v>
      </c>
      <c r="N732" s="43" t="s">
        <v>158</v>
      </c>
      <c r="O732" s="43" t="s">
        <v>158</v>
      </c>
      <c r="P732" s="43" t="s">
        <v>158</v>
      </c>
    </row>
    <row r="733" s="11" customFormat="1" spans="1:16">
      <c r="A733" s="32" t="s">
        <v>281</v>
      </c>
      <c r="B733" s="28" t="s">
        <v>242</v>
      </c>
      <c r="C733" s="28" t="s">
        <v>243</v>
      </c>
      <c r="D733" s="33" t="s">
        <v>136</v>
      </c>
      <c r="E733" s="34" t="s">
        <v>148</v>
      </c>
      <c r="F733" s="30">
        <v>1</v>
      </c>
      <c r="G733" s="30">
        <v>1</v>
      </c>
      <c r="H733" s="31">
        <v>12</v>
      </c>
      <c r="I733" s="40">
        <v>16.8</v>
      </c>
      <c r="J733" s="31" t="s">
        <v>283</v>
      </c>
      <c r="K733" s="31" t="s">
        <v>283</v>
      </c>
      <c r="L733" s="44">
        <v>0</v>
      </c>
      <c r="M733" s="42">
        <v>0</v>
      </c>
      <c r="N733" s="43" t="s">
        <v>158</v>
      </c>
      <c r="O733" s="43" t="s">
        <v>158</v>
      </c>
      <c r="P733" s="43" t="s">
        <v>158</v>
      </c>
    </row>
    <row r="734" s="11" customFormat="1" spans="1:16">
      <c r="A734" s="32" t="s">
        <v>281</v>
      </c>
      <c r="B734" s="28" t="s">
        <v>242</v>
      </c>
      <c r="C734" s="28" t="s">
        <v>243</v>
      </c>
      <c r="D734" s="33" t="s">
        <v>136</v>
      </c>
      <c r="E734" s="34" t="s">
        <v>148</v>
      </c>
      <c r="F734" s="30">
        <v>1</v>
      </c>
      <c r="G734" s="30">
        <v>1</v>
      </c>
      <c r="H734" s="31">
        <v>9.2</v>
      </c>
      <c r="I734" s="40">
        <v>16.8</v>
      </c>
      <c r="J734" s="31" t="s">
        <v>283</v>
      </c>
      <c r="K734" s="31" t="s">
        <v>283</v>
      </c>
      <c r="L734" s="44">
        <v>0</v>
      </c>
      <c r="M734" s="42">
        <v>0</v>
      </c>
      <c r="N734" s="43" t="s">
        <v>158</v>
      </c>
      <c r="O734" s="43" t="s">
        <v>158</v>
      </c>
      <c r="P734" s="43" t="s">
        <v>158</v>
      </c>
    </row>
    <row r="735" s="11" customFormat="1" spans="1:16">
      <c r="A735" s="32" t="s">
        <v>281</v>
      </c>
      <c r="B735" s="28" t="s">
        <v>242</v>
      </c>
      <c r="C735" s="28" t="s">
        <v>243</v>
      </c>
      <c r="D735" s="33" t="s">
        <v>136</v>
      </c>
      <c r="E735" s="34" t="s">
        <v>148</v>
      </c>
      <c r="F735" s="30">
        <v>1</v>
      </c>
      <c r="G735" s="30">
        <v>1</v>
      </c>
      <c r="H735" s="31">
        <v>5.7</v>
      </c>
      <c r="I735" s="40">
        <v>16.8</v>
      </c>
      <c r="J735" s="31" t="s">
        <v>283</v>
      </c>
      <c r="K735" s="31" t="s">
        <v>283</v>
      </c>
      <c r="L735" s="44">
        <v>0</v>
      </c>
      <c r="M735" s="42">
        <v>0</v>
      </c>
      <c r="N735" s="43" t="s">
        <v>158</v>
      </c>
      <c r="O735" s="43" t="s">
        <v>158</v>
      </c>
      <c r="P735" s="43" t="s">
        <v>158</v>
      </c>
    </row>
    <row r="736" s="11" customFormat="1" spans="1:16">
      <c r="A736" s="32" t="s">
        <v>281</v>
      </c>
      <c r="B736" s="28" t="s">
        <v>242</v>
      </c>
      <c r="C736" s="28" t="s">
        <v>243</v>
      </c>
      <c r="D736" s="33" t="s">
        <v>136</v>
      </c>
      <c r="E736" s="34" t="s">
        <v>148</v>
      </c>
      <c r="F736" s="30">
        <v>1</v>
      </c>
      <c r="G736" s="30">
        <v>1</v>
      </c>
      <c r="H736" s="31">
        <v>18.8</v>
      </c>
      <c r="I736" s="40">
        <v>16.8</v>
      </c>
      <c r="J736" s="31" t="s">
        <v>283</v>
      </c>
      <c r="K736" s="31" t="s">
        <v>283</v>
      </c>
      <c r="L736" s="44">
        <v>0</v>
      </c>
      <c r="M736" s="42">
        <v>0</v>
      </c>
      <c r="N736" s="43" t="s">
        <v>158</v>
      </c>
      <c r="O736" s="43" t="s">
        <v>158</v>
      </c>
      <c r="P736" s="43" t="s">
        <v>158</v>
      </c>
    </row>
    <row r="737" s="11" customFormat="1" spans="1:16">
      <c r="A737" s="32" t="s">
        <v>281</v>
      </c>
      <c r="B737" s="28" t="s">
        <v>242</v>
      </c>
      <c r="C737" s="28" t="s">
        <v>243</v>
      </c>
      <c r="D737" s="33" t="s">
        <v>136</v>
      </c>
      <c r="E737" s="34" t="s">
        <v>148</v>
      </c>
      <c r="F737" s="30">
        <v>1</v>
      </c>
      <c r="G737" s="30">
        <v>1</v>
      </c>
      <c r="H737" s="31">
        <v>1.2</v>
      </c>
      <c r="I737" s="40">
        <v>16.8</v>
      </c>
      <c r="J737" s="31" t="s">
        <v>283</v>
      </c>
      <c r="K737" s="31" t="s">
        <v>283</v>
      </c>
      <c r="L737" s="44">
        <v>0</v>
      </c>
      <c r="M737" s="42">
        <v>0</v>
      </c>
      <c r="N737" s="43" t="s">
        <v>158</v>
      </c>
      <c r="O737" s="43" t="s">
        <v>158</v>
      </c>
      <c r="P737" s="43" t="s">
        <v>158</v>
      </c>
    </row>
    <row r="738" s="11" customFormat="1" spans="1:16">
      <c r="A738" s="32" t="s">
        <v>281</v>
      </c>
      <c r="B738" s="28" t="s">
        <v>244</v>
      </c>
      <c r="C738" s="28" t="s">
        <v>192</v>
      </c>
      <c r="D738" s="33" t="str">
        <f>+IFERROR(VLOOKUP(C738,Data,4,FALSE),"Not in data")</f>
        <v>T</v>
      </c>
      <c r="E738" s="34" t="s">
        <v>149</v>
      </c>
      <c r="F738" s="30">
        <v>1</v>
      </c>
      <c r="G738" s="30">
        <v>16</v>
      </c>
      <c r="H738" s="31">
        <v>1.5</v>
      </c>
      <c r="I738" s="40">
        <f>+IF(F738&lt;&gt;"",F738*G738*H738,0)</f>
        <v>24</v>
      </c>
      <c r="J738" s="31">
        <f>+IFERROR(VLOOKUP(C738,Data,2,FALSE),"Not in weight table")</f>
        <v>14.6</v>
      </c>
      <c r="K738" s="31">
        <f>+IFERROR(VLOOKUP(C738,Data,3,FALSE),"Not in weight table")</f>
        <v>0.33</v>
      </c>
      <c r="L738" s="44">
        <f>+IF(ISNUMBER(J738),I738*J738/1000,0)</f>
        <v>0.3504</v>
      </c>
      <c r="M738" s="42">
        <f>+IF(ISNUMBER(K738),I738*K738,0)</f>
        <v>7.92</v>
      </c>
      <c r="N738" s="43" t="s">
        <v>158</v>
      </c>
      <c r="O738" s="43" t="s">
        <v>158</v>
      </c>
      <c r="P738" s="43" t="s">
        <v>158</v>
      </c>
    </row>
    <row r="739" s="11" customFormat="1" spans="1:16">
      <c r="A739" s="32"/>
      <c r="B739" s="28"/>
      <c r="C739" s="28"/>
      <c r="D739" s="33"/>
      <c r="E739" s="34"/>
      <c r="F739" s="30"/>
      <c r="G739" s="30"/>
      <c r="H739" s="31"/>
      <c r="I739" s="40"/>
      <c r="J739" s="31"/>
      <c r="K739" s="31"/>
      <c r="L739" s="44"/>
      <c r="M739" s="42"/>
      <c r="N739" s="43"/>
      <c r="O739" s="43"/>
      <c r="P739" s="43"/>
    </row>
    <row r="740" s="11" customFormat="1" spans="1:16">
      <c r="A740" s="32"/>
      <c r="B740" s="28"/>
      <c r="C740" s="28"/>
      <c r="D740" s="33"/>
      <c r="E740" s="34"/>
      <c r="F740" s="30"/>
      <c r="G740" s="30"/>
      <c r="H740" s="31"/>
      <c r="I740" s="40"/>
      <c r="J740" s="31"/>
      <c r="K740" s="31"/>
      <c r="L740" s="44"/>
      <c r="M740" s="42"/>
      <c r="N740" s="43"/>
      <c r="O740" s="43"/>
      <c r="P740" s="43"/>
    </row>
    <row r="741" s="11" customFormat="1" spans="1:16">
      <c r="A741" s="32"/>
      <c r="B741" s="28"/>
      <c r="C741" s="28"/>
      <c r="D741" s="33"/>
      <c r="E741" s="34"/>
      <c r="F741" s="30"/>
      <c r="G741" s="30"/>
      <c r="H741" s="31"/>
      <c r="I741" s="40"/>
      <c r="J741" s="31"/>
      <c r="K741" s="31"/>
      <c r="L741" s="44"/>
      <c r="M741" s="42"/>
      <c r="N741" s="43"/>
      <c r="O741" s="43"/>
      <c r="P741" s="43"/>
    </row>
    <row r="742" s="11" customFormat="1" spans="1:16">
      <c r="A742" s="32"/>
      <c r="B742" s="28"/>
      <c r="C742" s="28"/>
      <c r="D742" s="33"/>
      <c r="E742" s="34"/>
      <c r="F742" s="30"/>
      <c r="G742" s="30"/>
      <c r="H742" s="31"/>
      <c r="I742" s="40"/>
      <c r="J742" s="31"/>
      <c r="K742" s="31"/>
      <c r="L742" s="44"/>
      <c r="M742" s="42"/>
      <c r="N742" s="43"/>
      <c r="O742" s="43"/>
      <c r="P742" s="43"/>
    </row>
    <row r="743" s="11" customFormat="1" spans="1:16">
      <c r="A743" s="32"/>
      <c r="B743" s="28"/>
      <c r="C743" s="28"/>
      <c r="D743" s="33"/>
      <c r="E743" s="34"/>
      <c r="F743" s="30"/>
      <c r="G743" s="30"/>
      <c r="H743" s="31"/>
      <c r="I743" s="40"/>
      <c r="J743" s="31"/>
      <c r="K743" s="31"/>
      <c r="L743" s="44"/>
      <c r="M743" s="42"/>
      <c r="N743" s="43"/>
      <c r="O743" s="43"/>
      <c r="P743" s="43"/>
    </row>
    <row r="744" s="11" customFormat="1" spans="1:16">
      <c r="A744" s="32"/>
      <c r="B744" s="28"/>
      <c r="C744" s="28"/>
      <c r="D744" s="33"/>
      <c r="E744" s="34"/>
      <c r="F744" s="30"/>
      <c r="G744" s="30"/>
      <c r="H744" s="31"/>
      <c r="I744" s="40"/>
      <c r="J744" s="31"/>
      <c r="K744" s="31"/>
      <c r="L744" s="44"/>
      <c r="M744" s="42"/>
      <c r="N744" s="43"/>
      <c r="O744" s="43"/>
      <c r="P744" s="43"/>
    </row>
    <row r="745" s="11" customFormat="1" spans="1:16">
      <c r="A745" s="32"/>
      <c r="B745" s="28"/>
      <c r="C745" s="28"/>
      <c r="D745" s="33"/>
      <c r="E745" s="34"/>
      <c r="F745" s="30"/>
      <c r="G745" s="30"/>
      <c r="H745" s="31"/>
      <c r="I745" s="40"/>
      <c r="J745" s="31"/>
      <c r="K745" s="31"/>
      <c r="L745" s="44"/>
      <c r="M745" s="42"/>
      <c r="N745" s="43"/>
      <c r="O745" s="43"/>
      <c r="P745" s="43"/>
    </row>
    <row r="746" s="11" customFormat="1" spans="1:16">
      <c r="A746" s="32"/>
      <c r="B746" s="28"/>
      <c r="C746" s="28"/>
      <c r="D746" s="33"/>
      <c r="E746" s="34"/>
      <c r="F746" s="30"/>
      <c r="G746" s="30"/>
      <c r="H746" s="31"/>
      <c r="I746" s="40"/>
      <c r="J746" s="31"/>
      <c r="K746" s="31"/>
      <c r="L746" s="44"/>
      <c r="M746" s="42"/>
      <c r="N746" s="43"/>
      <c r="O746" s="43"/>
      <c r="P746" s="43"/>
    </row>
    <row r="747" s="11" customFormat="1" spans="1:16">
      <c r="A747" s="32"/>
      <c r="B747" s="28"/>
      <c r="C747" s="28"/>
      <c r="D747" s="33"/>
      <c r="E747" s="34"/>
      <c r="F747" s="30"/>
      <c r="G747" s="30"/>
      <c r="H747" s="31"/>
      <c r="I747" s="40"/>
      <c r="J747" s="31"/>
      <c r="K747" s="31"/>
      <c r="L747" s="44"/>
      <c r="M747" s="42"/>
      <c r="N747" s="43"/>
      <c r="O747" s="43"/>
      <c r="P747" s="43"/>
    </row>
    <row r="748" s="11" customFormat="1" spans="1:16">
      <c r="A748" s="32"/>
      <c r="B748" s="28"/>
      <c r="C748" s="28"/>
      <c r="D748" s="33"/>
      <c r="E748" s="34"/>
      <c r="F748" s="30"/>
      <c r="G748" s="30"/>
      <c r="H748" s="31"/>
      <c r="I748" s="40"/>
      <c r="J748" s="31"/>
      <c r="K748" s="31"/>
      <c r="L748" s="44"/>
      <c r="M748" s="42"/>
      <c r="N748" s="43"/>
      <c r="O748" s="43"/>
      <c r="P748" s="43"/>
    </row>
    <row r="749" s="11" customFormat="1" spans="1:16">
      <c r="A749" s="32"/>
      <c r="B749" s="28"/>
      <c r="C749" s="28"/>
      <c r="D749" s="33"/>
      <c r="E749" s="34"/>
      <c r="F749" s="30"/>
      <c r="G749" s="30"/>
      <c r="H749" s="31"/>
      <c r="I749" s="40"/>
      <c r="J749" s="31"/>
      <c r="K749" s="31"/>
      <c r="L749" s="44"/>
      <c r="M749" s="42"/>
      <c r="N749" s="43"/>
      <c r="O749" s="43"/>
      <c r="P749" s="43"/>
    </row>
    <row r="750" s="11" customFormat="1" spans="1:16">
      <c r="A750" s="32"/>
      <c r="B750" s="28"/>
      <c r="C750" s="28"/>
      <c r="D750" s="33"/>
      <c r="E750" s="34"/>
      <c r="F750" s="30"/>
      <c r="G750" s="30"/>
      <c r="H750" s="31"/>
      <c r="I750" s="40"/>
      <c r="J750" s="31"/>
      <c r="K750" s="31"/>
      <c r="L750" s="44"/>
      <c r="M750" s="42"/>
      <c r="N750" s="43"/>
      <c r="O750" s="43"/>
      <c r="P750" s="43"/>
    </row>
    <row r="751" s="11" customFormat="1" spans="1:16">
      <c r="A751" s="32"/>
      <c r="B751" s="28"/>
      <c r="C751" s="28"/>
      <c r="D751" s="33"/>
      <c r="E751" s="34"/>
      <c r="F751" s="30"/>
      <c r="G751" s="30"/>
      <c r="H751" s="31"/>
      <c r="I751" s="40"/>
      <c r="J751" s="31"/>
      <c r="K751" s="31"/>
      <c r="L751" s="44"/>
      <c r="M751" s="42"/>
      <c r="N751" s="43"/>
      <c r="O751" s="43"/>
      <c r="P751" s="43"/>
    </row>
    <row r="752" s="11" customFormat="1" spans="1:16">
      <c r="A752" s="32"/>
      <c r="B752" s="28"/>
      <c r="C752" s="28"/>
      <c r="D752" s="33"/>
      <c r="E752" s="34"/>
      <c r="F752" s="30"/>
      <c r="G752" s="30"/>
      <c r="H752" s="31"/>
      <c r="I752" s="40"/>
      <c r="J752" s="31"/>
      <c r="K752" s="31"/>
      <c r="L752" s="44"/>
      <c r="M752" s="42"/>
      <c r="N752" s="43"/>
      <c r="O752" s="43"/>
      <c r="P752" s="43"/>
    </row>
    <row r="753" s="11" customFormat="1" spans="1:16">
      <c r="A753" s="32"/>
      <c r="B753" s="28"/>
      <c r="C753" s="28"/>
      <c r="D753" s="33"/>
      <c r="E753" s="34"/>
      <c r="F753" s="30"/>
      <c r="G753" s="30"/>
      <c r="H753" s="31"/>
      <c r="I753" s="40"/>
      <c r="J753" s="31"/>
      <c r="K753" s="31"/>
      <c r="L753" s="44"/>
      <c r="M753" s="42"/>
      <c r="N753" s="43"/>
      <c r="O753" s="43"/>
      <c r="P753" s="43"/>
    </row>
    <row r="754" s="11" customFormat="1" spans="1:16">
      <c r="A754" s="32"/>
      <c r="B754" s="28"/>
      <c r="C754" s="28"/>
      <c r="D754" s="33"/>
      <c r="E754" s="34"/>
      <c r="F754" s="30"/>
      <c r="G754" s="30"/>
      <c r="H754" s="31"/>
      <c r="I754" s="40"/>
      <c r="J754" s="31"/>
      <c r="K754" s="31"/>
      <c r="L754" s="44"/>
      <c r="M754" s="42"/>
      <c r="N754" s="43"/>
      <c r="O754" s="43"/>
      <c r="P754" s="43"/>
    </row>
    <row r="755" s="11" customFormat="1" spans="1:16">
      <c r="A755" s="32"/>
      <c r="B755" s="28"/>
      <c r="C755" s="28"/>
      <c r="D755" s="33"/>
      <c r="E755" s="34"/>
      <c r="F755" s="30"/>
      <c r="G755" s="30"/>
      <c r="H755" s="31"/>
      <c r="I755" s="40"/>
      <c r="J755" s="31"/>
      <c r="K755" s="31"/>
      <c r="L755" s="44"/>
      <c r="M755" s="42"/>
      <c r="N755" s="43"/>
      <c r="O755" s="43"/>
      <c r="P755" s="43"/>
    </row>
    <row r="756" s="11" customFormat="1" spans="1:16">
      <c r="A756" s="32"/>
      <c r="B756" s="28"/>
      <c r="C756" s="28"/>
      <c r="D756" s="33"/>
      <c r="E756" s="34"/>
      <c r="F756" s="30"/>
      <c r="G756" s="30"/>
      <c r="H756" s="31"/>
      <c r="I756" s="40"/>
      <c r="J756" s="31"/>
      <c r="K756" s="31"/>
      <c r="L756" s="44"/>
      <c r="M756" s="42"/>
      <c r="N756" s="43"/>
      <c r="O756" s="43"/>
      <c r="P756" s="43"/>
    </row>
    <row r="757" s="11" customFormat="1" spans="1:16">
      <c r="A757" s="32"/>
      <c r="B757" s="28"/>
      <c r="C757" s="28"/>
      <c r="D757" s="33"/>
      <c r="E757" s="34"/>
      <c r="F757" s="30"/>
      <c r="G757" s="30"/>
      <c r="H757" s="31"/>
      <c r="I757" s="40"/>
      <c r="J757" s="31"/>
      <c r="K757" s="31"/>
      <c r="L757" s="44"/>
      <c r="M757" s="42"/>
      <c r="N757" s="43"/>
      <c r="O757" s="43"/>
      <c r="P757" s="43"/>
    </row>
    <row r="758" s="11" customFormat="1" spans="1:16">
      <c r="A758" s="32"/>
      <c r="B758" s="28"/>
      <c r="C758" s="28"/>
      <c r="D758" s="33"/>
      <c r="E758" s="34"/>
      <c r="F758" s="30"/>
      <c r="G758" s="30"/>
      <c r="H758" s="31"/>
      <c r="I758" s="40"/>
      <c r="J758" s="31"/>
      <c r="K758" s="31"/>
      <c r="L758" s="44"/>
      <c r="M758" s="42"/>
      <c r="N758" s="43"/>
      <c r="O758" s="43"/>
      <c r="P758" s="43"/>
    </row>
    <row r="759" s="11" customFormat="1" spans="1:16">
      <c r="A759" s="32"/>
      <c r="B759" s="28"/>
      <c r="C759" s="28"/>
      <c r="D759" s="33"/>
      <c r="E759" s="34"/>
      <c r="F759" s="30"/>
      <c r="G759" s="30"/>
      <c r="H759" s="31"/>
      <c r="I759" s="40"/>
      <c r="J759" s="31"/>
      <c r="K759" s="31"/>
      <c r="L759" s="44"/>
      <c r="M759" s="42"/>
      <c r="N759" s="43"/>
      <c r="O759" s="43"/>
      <c r="P759" s="43"/>
    </row>
    <row r="760" s="11" customFormat="1" spans="1:16">
      <c r="A760" s="32"/>
      <c r="B760" s="28"/>
      <c r="C760" s="28"/>
      <c r="D760" s="33"/>
      <c r="E760" s="34"/>
      <c r="F760" s="30"/>
      <c r="G760" s="30"/>
      <c r="H760" s="31"/>
      <c r="I760" s="40"/>
      <c r="J760" s="31"/>
      <c r="K760" s="31"/>
      <c r="L760" s="44"/>
      <c r="M760" s="42"/>
      <c r="N760" s="43"/>
      <c r="O760" s="43"/>
      <c r="P760" s="43"/>
    </row>
    <row r="761" s="11" customFormat="1" spans="1:16">
      <c r="A761" s="32"/>
      <c r="B761" s="28"/>
      <c r="C761" s="28"/>
      <c r="D761" s="33"/>
      <c r="E761" s="34"/>
      <c r="F761" s="30"/>
      <c r="G761" s="30"/>
      <c r="H761" s="31"/>
      <c r="I761" s="40"/>
      <c r="J761" s="31"/>
      <c r="K761" s="31"/>
      <c r="L761" s="44"/>
      <c r="M761" s="42"/>
      <c r="N761" s="43"/>
      <c r="O761" s="43"/>
      <c r="P761" s="43"/>
    </row>
    <row r="762" s="11" customFormat="1" spans="1:16">
      <c r="A762" s="32"/>
      <c r="B762" s="28"/>
      <c r="C762" s="28"/>
      <c r="D762" s="33"/>
      <c r="E762" s="34"/>
      <c r="F762" s="30"/>
      <c r="G762" s="30"/>
      <c r="H762" s="31"/>
      <c r="I762" s="40"/>
      <c r="J762" s="31"/>
      <c r="K762" s="31"/>
      <c r="L762" s="44"/>
      <c r="M762" s="42"/>
      <c r="N762" s="43"/>
      <c r="O762" s="43"/>
      <c r="P762" s="43"/>
    </row>
    <row r="763" s="11" customFormat="1" spans="1:16">
      <c r="A763" s="32"/>
      <c r="B763" s="28"/>
      <c r="C763" s="28"/>
      <c r="D763" s="33"/>
      <c r="E763" s="34"/>
      <c r="F763" s="30"/>
      <c r="G763" s="30"/>
      <c r="H763" s="31"/>
      <c r="I763" s="40"/>
      <c r="J763" s="31"/>
      <c r="K763" s="31"/>
      <c r="L763" s="44"/>
      <c r="M763" s="42"/>
      <c r="N763" s="43"/>
      <c r="O763" s="43"/>
      <c r="P763" s="43"/>
    </row>
    <row r="764" s="11" customFormat="1" spans="1:16">
      <c r="A764" s="32"/>
      <c r="B764" s="28"/>
      <c r="C764" s="28"/>
      <c r="D764" s="33"/>
      <c r="E764" s="34"/>
      <c r="F764" s="30"/>
      <c r="G764" s="30"/>
      <c r="H764" s="31"/>
      <c r="I764" s="40"/>
      <c r="J764" s="31"/>
      <c r="K764" s="31"/>
      <c r="L764" s="44"/>
      <c r="M764" s="42"/>
      <c r="N764" s="43"/>
      <c r="O764" s="43"/>
      <c r="P764" s="43"/>
    </row>
    <row r="765" s="11" customFormat="1" spans="1:16">
      <c r="A765" s="32"/>
      <c r="B765" s="28"/>
      <c r="C765" s="28"/>
      <c r="D765" s="33"/>
      <c r="E765" s="34"/>
      <c r="F765" s="30"/>
      <c r="G765" s="30"/>
      <c r="H765" s="31"/>
      <c r="I765" s="40"/>
      <c r="J765" s="31"/>
      <c r="K765" s="31"/>
      <c r="L765" s="44"/>
      <c r="M765" s="42"/>
      <c r="N765" s="43"/>
      <c r="O765" s="43"/>
      <c r="P765" s="43"/>
    </row>
    <row r="766" s="11" customFormat="1" spans="1:16">
      <c r="A766" s="32"/>
      <c r="B766" s="28"/>
      <c r="C766" s="28"/>
      <c r="D766" s="33"/>
      <c r="E766" s="34"/>
      <c r="F766" s="30"/>
      <c r="G766" s="30"/>
      <c r="H766" s="31"/>
      <c r="I766" s="40"/>
      <c r="J766" s="31"/>
      <c r="K766" s="31"/>
      <c r="L766" s="44"/>
      <c r="M766" s="42"/>
      <c r="N766" s="43"/>
      <c r="O766" s="43"/>
      <c r="P766" s="43"/>
    </row>
    <row r="767" s="11" customFormat="1" spans="1:16">
      <c r="A767" s="32"/>
      <c r="B767" s="28"/>
      <c r="C767" s="28"/>
      <c r="D767" s="33"/>
      <c r="E767" s="34"/>
      <c r="F767" s="30"/>
      <c r="G767" s="30"/>
      <c r="H767" s="31"/>
      <c r="I767" s="40"/>
      <c r="J767" s="31"/>
      <c r="K767" s="31"/>
      <c r="L767" s="44"/>
      <c r="M767" s="42"/>
      <c r="N767" s="43"/>
      <c r="O767" s="43"/>
      <c r="P767" s="43"/>
    </row>
    <row r="768" s="11" customFormat="1" spans="1:16">
      <c r="A768" s="32"/>
      <c r="B768" s="28"/>
      <c r="C768" s="28"/>
      <c r="D768" s="33"/>
      <c r="E768" s="34"/>
      <c r="F768" s="30"/>
      <c r="G768" s="30"/>
      <c r="H768" s="31"/>
      <c r="I768" s="40"/>
      <c r="J768" s="31"/>
      <c r="K768" s="31"/>
      <c r="L768" s="44"/>
      <c r="M768" s="42"/>
      <c r="N768" s="43"/>
      <c r="O768" s="43"/>
      <c r="P768" s="43"/>
    </row>
    <row r="769" s="11" customFormat="1" spans="1:16">
      <c r="A769" s="32"/>
      <c r="B769" s="28"/>
      <c r="C769" s="28"/>
      <c r="D769" s="33"/>
      <c r="E769" s="34"/>
      <c r="F769" s="30"/>
      <c r="G769" s="30"/>
      <c r="H769" s="31"/>
      <c r="I769" s="40"/>
      <c r="J769" s="31"/>
      <c r="K769" s="31"/>
      <c r="L769" s="44"/>
      <c r="M769" s="42"/>
      <c r="N769" s="43"/>
      <c r="O769" s="43"/>
      <c r="P769" s="43"/>
    </row>
    <row r="770" s="11" customFormat="1" spans="1:16">
      <c r="A770" s="32"/>
      <c r="B770" s="28"/>
      <c r="C770" s="28"/>
      <c r="D770" s="33"/>
      <c r="E770" s="34"/>
      <c r="F770" s="30"/>
      <c r="G770" s="30"/>
      <c r="H770" s="31"/>
      <c r="I770" s="40"/>
      <c r="J770" s="31"/>
      <c r="K770" s="31"/>
      <c r="L770" s="44"/>
      <c r="M770" s="42"/>
      <c r="N770" s="43"/>
      <c r="O770" s="43"/>
      <c r="P770" s="43"/>
    </row>
    <row r="771" s="11" customFormat="1" spans="1:16">
      <c r="A771" s="32"/>
      <c r="B771" s="28"/>
      <c r="C771" s="28"/>
      <c r="D771" s="33"/>
      <c r="E771" s="34"/>
      <c r="F771" s="30"/>
      <c r="G771" s="30"/>
      <c r="H771" s="31"/>
      <c r="I771" s="40"/>
      <c r="J771" s="31"/>
      <c r="K771" s="31"/>
      <c r="L771" s="44"/>
      <c r="M771" s="42"/>
      <c r="N771" s="43"/>
      <c r="O771" s="43"/>
      <c r="P771" s="43"/>
    </row>
    <row r="772" s="11" customFormat="1" spans="1:16">
      <c r="A772" s="32"/>
      <c r="B772" s="28"/>
      <c r="C772" s="28"/>
      <c r="D772" s="33"/>
      <c r="E772" s="34"/>
      <c r="F772" s="30"/>
      <c r="G772" s="30"/>
      <c r="H772" s="31"/>
      <c r="I772" s="40"/>
      <c r="J772" s="31"/>
      <c r="K772" s="31"/>
      <c r="L772" s="44"/>
      <c r="M772" s="42"/>
      <c r="N772" s="43"/>
      <c r="O772" s="43"/>
      <c r="P772" s="43"/>
    </row>
    <row r="773" s="11" customFormat="1" spans="1:16">
      <c r="A773" s="32"/>
      <c r="B773" s="28"/>
      <c r="C773" s="28"/>
      <c r="D773" s="33"/>
      <c r="E773" s="34"/>
      <c r="F773" s="30"/>
      <c r="G773" s="30"/>
      <c r="H773" s="31"/>
      <c r="I773" s="40"/>
      <c r="J773" s="31"/>
      <c r="K773" s="31"/>
      <c r="L773" s="44"/>
      <c r="M773" s="42"/>
      <c r="N773" s="43"/>
      <c r="O773" s="43"/>
      <c r="P773" s="43"/>
    </row>
    <row r="774" s="11" customFormat="1" spans="1:16">
      <c r="A774" s="32"/>
      <c r="B774" s="28"/>
      <c r="C774" s="28"/>
      <c r="D774" s="33"/>
      <c r="E774" s="34"/>
      <c r="F774" s="30"/>
      <c r="G774" s="30"/>
      <c r="H774" s="31"/>
      <c r="I774" s="40"/>
      <c r="J774" s="31"/>
      <c r="K774" s="31"/>
      <c r="L774" s="44"/>
      <c r="M774" s="42"/>
      <c r="N774" s="43"/>
      <c r="O774" s="43"/>
      <c r="P774" s="43"/>
    </row>
    <row r="775" s="11" customFormat="1" spans="1:16">
      <c r="A775" s="32"/>
      <c r="B775" s="28"/>
      <c r="C775" s="28"/>
      <c r="D775" s="33"/>
      <c r="E775" s="34"/>
      <c r="F775" s="30"/>
      <c r="G775" s="30"/>
      <c r="H775" s="31"/>
      <c r="I775" s="40"/>
      <c r="J775" s="31"/>
      <c r="K775" s="31"/>
      <c r="L775" s="44"/>
      <c r="M775" s="42"/>
      <c r="N775" s="43"/>
      <c r="O775" s="43"/>
      <c r="P775" s="43"/>
    </row>
    <row r="776" s="11" customFormat="1" spans="1:16">
      <c r="A776" s="32"/>
      <c r="B776" s="28"/>
      <c r="C776" s="28"/>
      <c r="D776" s="33"/>
      <c r="E776" s="34"/>
      <c r="F776" s="30"/>
      <c r="G776" s="30"/>
      <c r="H776" s="31"/>
      <c r="I776" s="40"/>
      <c r="J776" s="31"/>
      <c r="K776" s="31"/>
      <c r="L776" s="44"/>
      <c r="M776" s="42"/>
      <c r="N776" s="43"/>
      <c r="O776" s="43"/>
      <c r="P776" s="43"/>
    </row>
    <row r="777" s="11" customFormat="1" spans="1:16">
      <c r="A777" s="32"/>
      <c r="B777" s="28"/>
      <c r="C777" s="28"/>
      <c r="D777" s="33"/>
      <c r="E777" s="34"/>
      <c r="F777" s="30"/>
      <c r="G777" s="30"/>
      <c r="H777" s="31"/>
      <c r="I777" s="40"/>
      <c r="J777" s="31"/>
      <c r="K777" s="31"/>
      <c r="L777" s="44"/>
      <c r="M777" s="42"/>
      <c r="N777" s="43"/>
      <c r="O777" s="43"/>
      <c r="P777" s="43"/>
    </row>
    <row r="778" s="11" customFormat="1" spans="1:16">
      <c r="A778" s="32"/>
      <c r="B778" s="28"/>
      <c r="C778" s="28"/>
      <c r="D778" s="33"/>
      <c r="E778" s="34"/>
      <c r="F778" s="30"/>
      <c r="G778" s="30"/>
      <c r="H778" s="31"/>
      <c r="I778" s="40"/>
      <c r="J778" s="31"/>
      <c r="K778" s="31"/>
      <c r="L778" s="44"/>
      <c r="M778" s="42"/>
      <c r="N778" s="43"/>
      <c r="O778" s="43"/>
      <c r="P778" s="43"/>
    </row>
    <row r="779" spans="1:16">
      <c r="A779" s="45"/>
      <c r="B779" s="28"/>
      <c r="C779" s="28"/>
      <c r="D779" s="33"/>
      <c r="E779" s="29"/>
      <c r="F779" s="30"/>
      <c r="G779" s="30"/>
      <c r="H779" s="30"/>
      <c r="I779" s="40"/>
      <c r="J779" s="31"/>
      <c r="K779" s="31"/>
      <c r="L779" s="44"/>
      <c r="M779" s="42"/>
      <c r="N779" s="43"/>
      <c r="O779" s="43"/>
      <c r="P779" s="43"/>
    </row>
    <row r="780" spans="1:16">
      <c r="A780" s="45"/>
      <c r="B780" s="28"/>
      <c r="C780" s="28"/>
      <c r="D780" s="33"/>
      <c r="E780" s="29"/>
      <c r="F780" s="30"/>
      <c r="G780" s="30"/>
      <c r="H780" s="30"/>
      <c r="I780" s="40"/>
      <c r="J780" s="31"/>
      <c r="K780" s="31"/>
      <c r="L780" s="44"/>
      <c r="M780" s="42"/>
      <c r="N780" s="43"/>
      <c r="O780" s="43"/>
      <c r="P780" s="43"/>
    </row>
    <row r="781" spans="1:16">
      <c r="A781" s="45"/>
      <c r="B781" s="28"/>
      <c r="C781" s="28"/>
      <c r="D781" s="33"/>
      <c r="E781" s="29"/>
      <c r="F781" s="30"/>
      <c r="G781" s="30"/>
      <c r="H781" s="30"/>
      <c r="I781" s="40"/>
      <c r="J781" s="31"/>
      <c r="K781" s="31"/>
      <c r="L781" s="44"/>
      <c r="M781" s="42"/>
      <c r="N781" s="43"/>
      <c r="O781" s="43"/>
      <c r="P781" s="43"/>
    </row>
    <row r="782" spans="2:16">
      <c r="B782" s="28"/>
      <c r="C782" s="28"/>
      <c r="D782" s="33" t="str">
        <f>+IFERROR(VLOOKUP(C782,Data,4,FALSE),"Not in data")</f>
        <v>Not in data</v>
      </c>
      <c r="E782" s="29"/>
      <c r="F782" s="30"/>
      <c r="G782" s="30"/>
      <c r="H782" s="31"/>
      <c r="I782" s="40">
        <f t="shared" ref="I782:I787" si="85">+IF(F782&lt;&gt;"",F782*G782*H782,0)</f>
        <v>0</v>
      </c>
      <c r="J782" s="31" t="str">
        <f>+IFERROR(VLOOKUP(C782,Data,2,FALSE),"Not in weight table")</f>
        <v>Not in weight table</v>
      </c>
      <c r="K782" s="31" t="str">
        <f>+IFERROR(VLOOKUP(C782,Data,3,FALSE),"Not in weight table")</f>
        <v>Not in weight table</v>
      </c>
      <c r="L782" s="44">
        <f t="shared" ref="L780:L787" si="86">+IF(ISNUMBER(J782),I782*J782/1000,0)</f>
        <v>0</v>
      </c>
      <c r="M782" s="42">
        <f t="shared" ref="M780:M784" si="87">+IF(ISNUMBER(K782),I782*K782,0)</f>
        <v>0</v>
      </c>
      <c r="N782" s="43" t="s">
        <v>158</v>
      </c>
      <c r="O782" s="43" t="s">
        <v>158</v>
      </c>
      <c r="P782" s="43" t="s">
        <v>158</v>
      </c>
    </row>
    <row r="783" spans="2:16">
      <c r="B783" s="28"/>
      <c r="C783" s="28"/>
      <c r="D783" s="33"/>
      <c r="E783" s="29"/>
      <c r="F783" s="30"/>
      <c r="G783" s="30"/>
      <c r="H783" s="31"/>
      <c r="I783" s="40">
        <f t="shared" si="85"/>
        <v>0</v>
      </c>
      <c r="J783" s="31"/>
      <c r="K783" s="31"/>
      <c r="L783" s="44">
        <f t="shared" si="86"/>
        <v>0</v>
      </c>
      <c r="M783" s="42">
        <f t="shared" si="87"/>
        <v>0</v>
      </c>
      <c r="N783" s="58"/>
      <c r="O783" s="58"/>
      <c r="P783" s="58"/>
    </row>
    <row r="784" spans="2:16">
      <c r="B784" s="28"/>
      <c r="C784" s="28"/>
      <c r="D784" s="33"/>
      <c r="E784" s="29"/>
      <c r="F784" s="30"/>
      <c r="G784" s="30"/>
      <c r="H784" s="31"/>
      <c r="I784" s="40">
        <f t="shared" si="85"/>
        <v>0</v>
      </c>
      <c r="J784" s="31"/>
      <c r="K784" s="31"/>
      <c r="L784" s="44">
        <f t="shared" si="86"/>
        <v>0</v>
      </c>
      <c r="M784" s="42">
        <f t="shared" si="87"/>
        <v>0</v>
      </c>
      <c r="N784" s="58"/>
      <c r="O784" s="58"/>
      <c r="P784" s="58"/>
    </row>
    <row r="785" spans="1:16">
      <c r="A785" s="46" t="s">
        <v>286</v>
      </c>
      <c r="B785" s="47" t="s">
        <v>143</v>
      </c>
      <c r="C785" s="47"/>
      <c r="D785" s="47" t="s">
        <v>143</v>
      </c>
      <c r="E785" s="48" t="s">
        <v>149</v>
      </c>
      <c r="F785" s="49"/>
      <c r="G785" s="49"/>
      <c r="H785" s="50"/>
      <c r="I785" s="50">
        <f t="shared" ref="I785:I786" si="88">+IF(F785&lt;&gt;"",F785*G785*H785,0)</f>
        <v>0</v>
      </c>
      <c r="J785" s="50"/>
      <c r="K785" s="50"/>
      <c r="L785" s="59">
        <f>+SUBTOTAL(9,L9:L784)*Summary!J19</f>
        <v>12.864843</v>
      </c>
      <c r="M785" s="59">
        <f>+SUBTOTAL(9,M9:M784)*Summary!J19</f>
        <v>389.7147825</v>
      </c>
      <c r="N785" s="60" t="s">
        <v>158</v>
      </c>
      <c r="O785" s="60"/>
      <c r="P785" s="60" t="s">
        <v>158</v>
      </c>
    </row>
    <row r="786" spans="1:16">
      <c r="A786" s="46"/>
      <c r="B786" s="47"/>
      <c r="C786" s="47"/>
      <c r="D786" s="51"/>
      <c r="E786" s="52"/>
      <c r="F786" s="49"/>
      <c r="G786" s="49"/>
      <c r="H786" s="50"/>
      <c r="I786" s="50">
        <f t="shared" si="88"/>
        <v>0</v>
      </c>
      <c r="J786" s="50"/>
      <c r="K786" s="50"/>
      <c r="L786" s="59">
        <f t="shared" ref="L786" si="89">+IF(ISNUMBER(J786),I786*J786/1000,0)</f>
        <v>0</v>
      </c>
      <c r="M786" s="61">
        <f t="shared" ref="M786" si="90">+IF(ISNUMBER(K786),I786*K786,0)</f>
        <v>0</v>
      </c>
      <c r="N786" s="52"/>
      <c r="O786" s="52"/>
      <c r="P786" s="52"/>
    </row>
    <row r="787" spans="2:16">
      <c r="B787" s="28"/>
      <c r="C787" s="28"/>
      <c r="D787" s="33"/>
      <c r="E787" s="29"/>
      <c r="F787" s="30"/>
      <c r="G787" s="30"/>
      <c r="H787" s="31"/>
      <c r="I787" s="40">
        <f t="shared" si="85"/>
        <v>0</v>
      </c>
      <c r="J787" s="31"/>
      <c r="K787" s="31"/>
      <c r="L787" s="44">
        <f t="shared" si="86"/>
        <v>0</v>
      </c>
      <c r="M787" s="42"/>
      <c r="N787" s="58"/>
      <c r="O787" s="58"/>
      <c r="P787" s="58"/>
    </row>
    <row r="788" spans="2:16">
      <c r="B788" s="28"/>
      <c r="C788" s="28"/>
      <c r="D788" s="33"/>
      <c r="E788" s="29"/>
      <c r="F788" s="30"/>
      <c r="G788" s="30"/>
      <c r="H788" s="31"/>
      <c r="I788" s="40"/>
      <c r="J788" s="31"/>
      <c r="K788" s="31"/>
      <c r="L788" s="41"/>
      <c r="M788" s="42"/>
      <c r="N788" s="58"/>
      <c r="O788" s="58"/>
      <c r="P788" s="58"/>
    </row>
    <row r="789" spans="1:16">
      <c r="A789" s="11" t="s">
        <v>287</v>
      </c>
      <c r="B789" s="28" t="s">
        <v>37</v>
      </c>
      <c r="C789" s="28"/>
      <c r="D789" s="33" t="s">
        <v>137</v>
      </c>
      <c r="E789" s="29" t="s">
        <v>152</v>
      </c>
      <c r="F789" s="30"/>
      <c r="G789" s="30"/>
      <c r="H789" s="31"/>
      <c r="I789" s="40"/>
      <c r="J789" s="31"/>
      <c r="K789" s="31"/>
      <c r="L789" s="41"/>
      <c r="M789" s="42"/>
      <c r="N789" s="58" t="s">
        <v>157</v>
      </c>
      <c r="O789" s="58" t="s">
        <v>157</v>
      </c>
      <c r="P789" s="58" t="s">
        <v>157</v>
      </c>
    </row>
    <row r="790" spans="2:16">
      <c r="B790" s="28" t="s">
        <v>39</v>
      </c>
      <c r="C790" s="28"/>
      <c r="D790" s="33" t="s">
        <v>141</v>
      </c>
      <c r="E790" s="29" t="s">
        <v>153</v>
      </c>
      <c r="F790" s="30"/>
      <c r="G790" s="30"/>
      <c r="H790" s="31"/>
      <c r="I790" s="40"/>
      <c r="J790" s="31"/>
      <c r="K790" s="31"/>
      <c r="L790" s="41"/>
      <c r="M790" s="42"/>
      <c r="N790" s="58" t="s">
        <v>158</v>
      </c>
      <c r="O790" s="58" t="s">
        <v>158</v>
      </c>
      <c r="P790" s="58" t="s">
        <v>158</v>
      </c>
    </row>
    <row r="791" spans="2:16">
      <c r="B791" s="28" t="s">
        <v>40</v>
      </c>
      <c r="C791" s="28"/>
      <c r="D791" s="33" t="s">
        <v>138</v>
      </c>
      <c r="E791" s="29" t="s">
        <v>154</v>
      </c>
      <c r="F791" s="30"/>
      <c r="G791" s="30"/>
      <c r="H791" s="31"/>
      <c r="I791" s="40"/>
      <c r="J791" s="31"/>
      <c r="K791" s="31"/>
      <c r="L791" s="41"/>
      <c r="M791" s="42"/>
      <c r="N791" s="58" t="s">
        <v>156</v>
      </c>
      <c r="O791" s="58" t="s">
        <v>156</v>
      </c>
      <c r="P791" s="58" t="s">
        <v>161</v>
      </c>
    </row>
    <row r="792" spans="2:16">
      <c r="B792" s="28" t="s">
        <v>41</v>
      </c>
      <c r="C792" s="28"/>
      <c r="D792" s="33" t="s">
        <v>135</v>
      </c>
      <c r="E792" s="29" t="s">
        <v>149</v>
      </c>
      <c r="F792" s="30"/>
      <c r="G792" s="30"/>
      <c r="H792" s="31"/>
      <c r="I792" s="40"/>
      <c r="J792" s="31"/>
      <c r="K792" s="31"/>
      <c r="L792" s="41"/>
      <c r="M792" s="42"/>
      <c r="N792" s="58"/>
      <c r="O792" s="58"/>
      <c r="P792" s="58" t="s">
        <v>162</v>
      </c>
    </row>
    <row r="793" spans="2:16">
      <c r="B793" s="28" t="s">
        <v>42</v>
      </c>
      <c r="C793" s="28"/>
      <c r="D793" s="33" t="s">
        <v>139</v>
      </c>
      <c r="E793" s="29" t="s">
        <v>150</v>
      </c>
      <c r="F793" s="30"/>
      <c r="G793" s="30"/>
      <c r="H793" s="31"/>
      <c r="I793" s="40"/>
      <c r="J793" s="31"/>
      <c r="K793" s="31"/>
      <c r="L793" s="41"/>
      <c r="M793" s="42"/>
      <c r="N793" s="58"/>
      <c r="O793" s="58"/>
      <c r="P793" s="58" t="s">
        <v>163</v>
      </c>
    </row>
    <row r="794" spans="2:16">
      <c r="B794" s="28" t="s">
        <v>43</v>
      </c>
      <c r="C794" s="28"/>
      <c r="D794" s="33" t="s">
        <v>140</v>
      </c>
      <c r="E794" s="29" t="s">
        <v>151</v>
      </c>
      <c r="F794" s="30"/>
      <c r="G794" s="30"/>
      <c r="H794" s="31"/>
      <c r="I794" s="40"/>
      <c r="J794" s="31"/>
      <c r="K794" s="31"/>
      <c r="L794" s="41"/>
      <c r="M794" s="42"/>
      <c r="N794" s="58"/>
      <c r="O794" s="58"/>
      <c r="P794" s="58"/>
    </row>
    <row r="795" spans="2:16">
      <c r="B795" s="28" t="s">
        <v>44</v>
      </c>
      <c r="C795" s="28"/>
      <c r="D795" s="33"/>
      <c r="E795" s="29" t="s">
        <v>148</v>
      </c>
      <c r="F795" s="30"/>
      <c r="G795" s="30"/>
      <c r="H795" s="31"/>
      <c r="I795" s="40"/>
      <c r="J795" s="31"/>
      <c r="K795" s="31"/>
      <c r="L795" s="41"/>
      <c r="M795" s="42"/>
      <c r="N795" s="58"/>
      <c r="O795" s="58"/>
      <c r="P795" s="58"/>
    </row>
    <row r="796" spans="2:16">
      <c r="B796" s="28" t="s">
        <v>45</v>
      </c>
      <c r="C796" s="28"/>
      <c r="D796" s="33"/>
      <c r="E796" s="29"/>
      <c r="F796" s="30"/>
      <c r="G796" s="30"/>
      <c r="H796" s="31"/>
      <c r="I796" s="40"/>
      <c r="J796" s="31"/>
      <c r="K796" s="31"/>
      <c r="L796" s="41"/>
      <c r="M796" s="42"/>
      <c r="N796" s="58"/>
      <c r="O796" s="58"/>
      <c r="P796" s="58"/>
    </row>
    <row r="797" spans="2:16">
      <c r="B797" s="28" t="s">
        <v>46</v>
      </c>
      <c r="C797" s="28"/>
      <c r="D797" s="33"/>
      <c r="E797" s="29"/>
      <c r="F797" s="30"/>
      <c r="G797" s="30"/>
      <c r="H797" s="31"/>
      <c r="I797" s="40"/>
      <c r="J797" s="31"/>
      <c r="K797" s="31"/>
      <c r="L797" s="41"/>
      <c r="M797" s="42"/>
      <c r="N797" s="58"/>
      <c r="O797" s="58"/>
      <c r="P797" s="58"/>
    </row>
    <row r="798" spans="2:16">
      <c r="B798" s="53" t="s">
        <v>47</v>
      </c>
      <c r="C798" s="53"/>
      <c r="D798" s="54"/>
      <c r="E798" s="55"/>
      <c r="F798" s="56"/>
      <c r="G798" s="56"/>
      <c r="H798" s="57"/>
      <c r="I798" s="62"/>
      <c r="J798" s="57"/>
      <c r="K798" s="57"/>
      <c r="L798" s="63"/>
      <c r="M798" s="64"/>
      <c r="N798" s="65"/>
      <c r="O798" s="65"/>
      <c r="P798" s="65"/>
    </row>
    <row r="799" spans="2:2">
      <c r="B799" s="12" t="s">
        <v>48</v>
      </c>
    </row>
    <row r="800" spans="2:2">
      <c r="B800" s="12" t="s">
        <v>49</v>
      </c>
    </row>
    <row r="801" spans="2:2">
      <c r="B801" s="12" t="s">
        <v>50</v>
      </c>
    </row>
    <row r="802" spans="2:2">
      <c r="B802" s="12" t="s">
        <v>51</v>
      </c>
    </row>
    <row r="803" spans="2:2">
      <c r="B803" s="12" t="s">
        <v>52</v>
      </c>
    </row>
    <row r="804" spans="2:2">
      <c r="B804" s="12" t="s">
        <v>53</v>
      </c>
    </row>
  </sheetData>
  <dataValidations count="2">
    <dataValidation type="list" allowBlank="1" showInputMessage="1" showErrorMessage="1" sqref="N9:O9 N10:O10 N11:O11 N12:O12 N13:O13 N14:O14 N15:O15 N16:O16 N17:O17 N18:O18 N19:O19 N20:O20 N21:O21 N22:O22 N23:O23 N24:O24 N25:O25 N26:O26 N27:O27 N28:O28 N29:O29 N30:O30 N31:O31 N32:O32 N33:O33 N34:O34 N35:O35 N36:O36 N37:O37 N38:O38 N39:O39 N40:O40 N41:O41 N42:O42 N43:O43 N44:O44 N45:O45 N46:O46 N47:O47 N48:O48 N49:O49 N50:O50 N51:O51 N52:O52 N53:O53 N54:O54 N55:O55 N56:O56 N57:O57 N58:O58 N59:O59 N60:O60 N61:O61 N62:O62 N63:O63 N64:O64 N65:O65 N66:O66 N67:O67 N68:O68 N69:O69 N70:O70 N71:O71 N72:O72 N73:O73 N74:O74 N75:O75 N76:O76 N77:O77 N78:O78 N79:O79 N80:O80 N81:O81 N82:O82 N83:O83 N84:O84 N85:O85 N86:O86 N87:O87 N88:O88 N89:O89 N90:O90 N91:O91 N92:O92 N93:O93 N94:O94 N95:O95 N96:O96 N97:O97 N98:O98 N99:O99 N100:O100 N101:O101 N102:O102 N103:O103 N104:O104 N105:O105 N106:O106 N107:O107 N108:O108 N109:O109 N110:O110 N111:O111 N112:O112 N113:O113 N114:O114 N115:O115 N116:O116 N117:O117 N118:O118 N119:O119 N120:O120 N121:O121 N122:O122 N123:O123 N124:O124 N125:O125 N126:O126 N127:O127 N128:O128 N129:O129 N130:O130 N131:O131 N132:O132 N133:O133 N134:O134 N135:O135 N136:O136 N137:O137 N138:O138 N139:O139 N140:O140 N141:O141 N142:O142 N143:O143 N144:O144 N145:O145 N146:O146 N147:O147 N148:O148 N149:O149 N150:O150 N151:O151 N152:O152 N153:O153 N154:O154 N155:O155 N156:O156 N157:O157 N158:O158 N159:O159 N160:O160 N161:O161 N162:O162 N163:O163 N164:O164 N165:O165 N166:O166 N167:O167 N168:O168 N169:O169 N170:O170 N171:O171 N172:O172 N173:O173 N174:O174 N175:O175 N176:O176 N177:O177 N178:O178 N179:O179 N180:O180 N181:O181 N182:O182 N183:O183 N184:O184 N185:O185 N186:O186 N187:O187 N188:O188 N189:O189 N190:O190 N191:O191 N192:O192 N193:O193 N194:O194 N195:O195 N196:O196 N197:O197 N198:O198 N199:O199 N200:O200 N201:O201 N202:O202 N203:O203 N204:O204 N205:O205 N206:O206 N207:O207 N208:O208 N209:O209 N210:O210 N211:O211 N212:O212 N213:O213 N214:O214 N215:O215 N216:O216 N217:O217 N218:O218 N219:O219 N220:O220 N221:O221 N222:O222 N223:O223 N224:O224 N225:O225 N226:O226 N227:O227 N228:O228 N229:O229 N230:O230 N231:O231 N232:O232 N233:O233 N234:O234 N235:O235 N236:O236 N237:O237 N238:O238 N239:O239 N240:O240 N241:O241 N242:O242 N243:O243 N244:O244 N245:O245 N246:O246 N247:O247 N248:O248 N249:O249 N250:O250 N251:O251 N252:O252 N253:O253 N254:O254 N255:O255 N256:O256 N257:O257 N258:O258 N259:O259 N260:O260 N261:O261 N262:O262 N263:O263 N264:O264 N265:O265 N266:O266 N267:O267 N268:O268 N269:O269 N270:O270 N271:O271 N272:O272 N273:O273 N274:O274 N275:O275 N276:O276 N277:O277 N278:O278 N279:O279 N280:O280 N281:O281 N282:O282 N283:O283 N284:O284 N285:O285 N286:O286 N287:O287 N288:O288 N289:O289 N290:O290 N291:O291 N292:O292 N293:O293 N294:O294 N295:O295 N296:O296 N297:O297 N298:O298 N299:O299 N300:O300 N301:O301 N302:O302 N303:O303 N304:O304 N305:O305 N306:O306 N307:O307 N308:O308 N309:O309 N310:O310 N311:O311 N312:O312 N313:O313 N314:O314 N315:O315 N316:O316 N317:O317 N318:O318 N319:O319 N320:O320 N321:O321 N322:O322 N323:O323 N324:O324 N325:O325 N326:O326 N327:O327 N328:O328 N329:O329 N330:O330 N331:O331 N332:O332 N333:O333 N334:O334 N335:O335 N336:O336 N337:O337 N338:O338 N339:O339 N340:O340 N341:O341 N342:O342 N343:O343 N344:O344 N345:O345 N346:O346 N347:O347 N348:O348 N349:O349 N350:O350 N351:O351 N352:O352 N353:O353 N354:O354 N355:O355 N356:O356 N357:O357 N358:O358 N359:O359 N360:O360 N361:O361 N362:O362 N363:O363 N364:O364 N365:O365 N366:O366 N367:O367 N368:O368 N369:O369 N370:O370 N371:O371 N372:O372 N373:O373 N374:O374 N375:O375 N376:O376 N377:O377 N378:O378 N379:O379 N380:O380 N381:O381 N382:O382 N383:O383 N384:O384 N385:O385 N386:O386 N387:O387 N388:O388 N389:O389 N390:O390 N391:O391 N392:O392 N393:O393 N394:O394 N395:O395 N396:O396 N397:O397 N398:O398 N399:O399 N400:O400 N401:O401 N402:O402 N403:O403 N404:O404 N405:O405 N406:O406 N407:O407 N408:O408 N409:O409 N410:O410 N411:O411 N412:O412 N413:O413 N414:O414 N415:O415 N416:O416 N417:O417 N418:O418 N419:O419 N420:O420 N421:O421 N422:O422 N423:O423 N424:O424 N425:O425 N426:O426 N427:O427 N428:O428 N429:O429 N430:O430 N431:O431 N432:O432 N433:O433 N434:O434 N435:O435 N436:O436 N437:O437 N438:O438 N439:O439 N440:O440 N441:O441 N442:O442 N443:O443 N444:O444 N445:O445 N446:O446 N447:O447 N448:O448 N449:O449 N450:O450 N451:O451 N452:O452 N453:O453 N454:O454 N455:O455 N456:O456 N457:O457 N458:O458 N459:O459 N460:O460 N461:O461 N462:O462 N463:O463 N464:O464 N465:O465 N466:O466 N467:O467 N468:O468 N469:O469 N470:O470 N471:O471 N472:O472 N473:O473 N474:O474 N475:O475 N476:O476 N477:O477 N478:O478 N479:O479 N480:O480 N481:O481 N482:O482 N483:O483 N484:O484 N485:O485 N486:O486 N487:O487 N488:O488 N489:O489 N490:O490 N491:O491 N492:O492 N493:O493 N494:O494 N495:O495 N496:O496 N497:O497 N498:O498 N499:O499 N500:O500 N501:O501 N502:O502 N503:O503 N504:O504 N505:O505 N506:O506 N507:O507 N508:O508 N509:O509 N510:O510 N511:O511 N512:O512 N513:O513 N514:O514 N515:O515 N516:O516 N517:O517 N518:O518 N519:O519 N520:O520 N521:O521 N522:O522 N523:O523 N524:O524 N525:O525 N526:O526 N527:O527 N528:O528 N529:O529 N530:O530 N531:O531 N532:O532 N533:O533 N534:O534 N535:O535 N536:O536 N537:O537 N538:O538 N539:O539 N540:O540 N541:O541 N542:O542 N543:O543 N544:O544 N545:O545 N546:O546 N547:O547 N548:O548 N549:O549 N550:O550 N551:O551 N552:O552 N553:O553 N554:O554 N555:O555 N556:O556 N557:O557 N558:O558 N559:O559 N560:O560 N561:O561 N562:O562 N563:O563 N564:O564 N565:O565 N566:O566 N567:O567 N568:O568 N569:O569 N570:O570 N571:O571 N572:O572 N573:O573 N574:O574 N575:O575 N576:O576 N577:O577 N578:O578 N579:O579 N580:O580 N581:O581 N582:O582 N583:O583 N584:O584 N585:O585 N586:O586 N587:O587 N588:O588 N589:O589 N590:O590 N591:O591 N592:O592 N593:O593 N594:O594 N595:O595 N596:O596 N597:O597 N598:O598 N599:O599 N600:O600 N601:O601 N602:O602 N603:O603 N604:O604 N605:O605 N606:O606 N607:O607 N608:O608 N609:O609 N610:O610 N611:O611 N612:O612 N613:O613 N614:O614 N615:O615 N616:O616 N617:O617 N618:O618 N619:O619 N620:O620 N621:O621 N622:O622 N623:O623 N624:O624 N625:O625 N626:O626 N627:O627 N628:O628 N629:O629 N630:O630 N631:O631 N632:O632 N633:O633 N634:O634 N635:O635 N636:O636 N637:O637 N638:O638 N639:O639 N640:O640 N641:O641 N642:O642 N643:O643 N644:O644 N645:O645 N646:O646 N647:O647 N648:O648 N649:O649 N650:O650 N651:O651 N652:O652 N653:O653 N654:O654 N655:O655 N656:O656 N657:O657 N658:O658 N659:O659 N660:O660 N661:O661 N662:O662 N663:O663 N664:O664 N665:O665 N666:O666 N667:O667 N668:O668 N669:O669 N670:O670 N671:O671 N672:O672 N673:O673 N674:O674 N675:O675 N676:O676 N677:O677 N678:O678 N679:O679 N680:O680 N681:O681 N682:O682 N683:O683 N684:O684 N685:O685 N686:O686 N687:O687 N688:O688 N689:O689 N690:O690 N691:O691 N692:O692 N693:O693 N694:O694 N695:O695 N696:O696 N697:O697 N698:O698 N699:O699 N700:O700 N701:O701 N702:O702 N703:O703 N704:O704 N705:O705 N706:O706 N707:O707 N708:O708 N709:O709 N710:O710 N711:O711 N712:O712 N713:O713 N714:O714 N715:O715 N716:O716 N717:O717 N718:O718 N719:O719 N720:O720 N721:O721 N722:O722 N723:O723 N724:O724 N725:O725 N726:O726 N727:O727 N728:O728 N729:O729 N730:O730 N731:O731 N732:O732 N733:O733 N734:O734 N735:O735 N736:O736 N737:O737 N738:O738 P789:P790 N779:O798 N776:O778 N770:O775 N758:O769 N739:O757">
      <formula1>"Simple,Standard,High"</formula1>
    </dataValidation>
    <dataValidation type="list" allowBlank="1" showInputMessage="1" showErrorMessage="1" sqref="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P301 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 P370 P371 P372 P373 P374 P375 P376 P377 P378 P379 P380 P381 P382 P383 P384 P385 P386 P387 P388 P389 P390 P391 P392 P393 P394 P395 P396 P397 P398 P399 P400 P401 P402 P403 P404 P405 P406 P407 P408 P409 P410 P411 P412 P413 P414 P415 P416 P417 P418 P419 P420 P421 P422 P423 P424 P425 P426 P427 P428 P429 P430 P431 P432 P433 P434 P435 P436 P437 P438 P439 P440 P441 P442 P443 P444 P445 P446 P447 P448 P449 P450 P451 P452 P453 P454 P455 P456 P457 P458 P459 P460 P461 P462 P463 P464 P465 P466 P467 P468 P469 P470 P471 P472 P473 P474 P475 P476 P477 P478 P479 P480 P481 P482 P483 P484 P485 P486 P487 P488 P489 P490 P491 P492 P493 P494 P495 P496 P497 P498 P499 P500 P501 P502 P503 P504 P505 P506 P507 P508 P509 P510 P511 P512 P513 P514 P515 P516 P517 P518 P519 P520 P521 P522 P523 P524 P525 P526 P527 P528 P529 P530 P531 P532 P533 P534 P535 P536 P537 P538 P539 P540 P541 P542 P543 P544 P545 P546 P547 P548 P549 P550 P551 P552 P553 P554 P555 P556 P557 P558 P559 P560 P561 P562 P563 P564 P565 P566 P567 P568 P569 P570 P571 P572 P573 P574 P575 P576 P577 P578 P579 P580 P581 P582 P583 P584 P585 P586 P587 P588 P589 P590 P591 P592 P593 P594 P595 P596 P597 P598 P599 P600 P601 P602 P603 P604 P605 P606 P607 P608 P609 P610 P611 P612 P613 P614 P615 P616 P617 P618 P619 P620 P621 P622 P623 P624 P625 P626 P627 P628 P629 P630 P631 P632 P633 P634 P635 P636 P637 P638 P639 P640 P641 P642 P643 P644 P645 P646 P647 P648 P649 P650 P651 P652 P653 P654 P655 P656 P657 P658 P659 P660 P661 P662 P663 P664 P665 P666 P667 P668 P669 P670 P671 P672 P673 P674 P675 P676 P677 P678 P679 P680 P681 P682 P683 P684 P685 P686 P687 P688 P689 P690 P691 P692 P693 P694 P695 P696 P697 P698 P699 P700 P701 P702 P703 P704 P705 P706 P707 P708 P709 P710 P711 P712 P713 P714 P715 P716 P717 P718 P719 P720 P721 P722 P723 P724 P725 P726 P727 P728 P729 P730 P731 P732 P733 P734 P735 P736 P737 P738 P739:P757 P758:P769 P770:P775 P776:P778 P779:P788 P791:P798">
      <formula1>"Simple,Standard,High1,High2,High3"</formula1>
    </dataValidation>
  </dataValidations>
  <pageMargins left="0.699305555555556" right="0.699305555555556" top="0.75" bottom="0.75" header="0.3" footer="0.3"/>
  <pageSetup paperSize="8" scale="90" orientation="landscape" horizontalDpi="1200" verticalDpi="1200"/>
  <headerFooter/>
  <colBreaks count="1" manualBreakCount="1">
    <brk id="16" max="791"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4"/>
  <sheetViews>
    <sheetView workbookViewId="0">
      <selection activeCell="B12" sqref="B12"/>
    </sheetView>
  </sheetViews>
  <sheetFormatPr defaultColWidth="8.75" defaultRowHeight="15" outlineLevelCol="3"/>
  <cols>
    <col min="1" max="4" width="15.5" style="1" customWidth="1"/>
    <col min="5" max="16384" width="8.75" style="1"/>
  </cols>
  <sheetData>
    <row r="1" spans="1:4">
      <c r="A1" s="2" t="s">
        <v>166</v>
      </c>
      <c r="B1" s="2" t="s">
        <v>288</v>
      </c>
      <c r="C1" s="2" t="s">
        <v>289</v>
      </c>
      <c r="D1" s="3" t="s">
        <v>290</v>
      </c>
    </row>
    <row r="2" spans="1:4">
      <c r="A2" s="4" t="s">
        <v>291</v>
      </c>
      <c r="B2" s="4"/>
      <c r="C2" s="4"/>
      <c r="D2" s="4"/>
    </row>
    <row r="3" spans="1:4">
      <c r="A3" s="5" t="s">
        <v>292</v>
      </c>
      <c r="B3" s="5">
        <v>14</v>
      </c>
      <c r="C3" s="5">
        <v>0.576</v>
      </c>
      <c r="D3" s="6" t="s">
        <v>137</v>
      </c>
    </row>
    <row r="4" spans="1:4">
      <c r="A4" s="5" t="s">
        <v>293</v>
      </c>
      <c r="B4" s="5">
        <v>18</v>
      </c>
      <c r="C4" s="5">
        <v>0.584</v>
      </c>
      <c r="D4" s="6" t="s">
        <v>137</v>
      </c>
    </row>
    <row r="5" spans="1:4">
      <c r="A5" s="5" t="s">
        <v>294</v>
      </c>
      <c r="B5" s="5">
        <v>18.1</v>
      </c>
      <c r="C5" s="5">
        <v>0.685</v>
      </c>
      <c r="D5" s="6" t="s">
        <v>137</v>
      </c>
    </row>
    <row r="6" spans="1:4">
      <c r="A6" s="5" t="s">
        <v>295</v>
      </c>
      <c r="B6" s="5">
        <v>22.2</v>
      </c>
      <c r="C6" s="5">
        <v>0.691</v>
      </c>
      <c r="D6" s="6" t="s">
        <v>137</v>
      </c>
    </row>
    <row r="7" spans="1:4">
      <c r="A7" s="5" t="s">
        <v>296</v>
      </c>
      <c r="B7" s="5">
        <v>18.2</v>
      </c>
      <c r="C7" s="5">
        <v>0.764</v>
      </c>
      <c r="D7" s="6" t="s">
        <v>137</v>
      </c>
    </row>
    <row r="8" spans="1:4">
      <c r="A8" s="5" t="s">
        <v>297</v>
      </c>
      <c r="B8" s="5">
        <v>18.2</v>
      </c>
      <c r="C8" s="5">
        <v>0.764</v>
      </c>
      <c r="D8" s="6" t="s">
        <v>137</v>
      </c>
    </row>
    <row r="9" spans="1:4">
      <c r="A9" s="5" t="s">
        <v>298</v>
      </c>
      <c r="B9" s="5">
        <v>22.3</v>
      </c>
      <c r="C9" s="5">
        <v>0.911</v>
      </c>
      <c r="D9" s="6" t="s">
        <v>137</v>
      </c>
    </row>
    <row r="10" spans="1:4">
      <c r="A10" s="5" t="s">
        <v>299</v>
      </c>
      <c r="B10" s="5">
        <v>22.3</v>
      </c>
      <c r="C10" s="5">
        <v>0.911</v>
      </c>
      <c r="D10" s="6" t="s">
        <v>137</v>
      </c>
    </row>
    <row r="11" spans="1:4">
      <c r="A11" s="5" t="s">
        <v>300</v>
      </c>
      <c r="B11" s="5">
        <v>25.4</v>
      </c>
      <c r="C11" s="5">
        <v>0.915</v>
      </c>
      <c r="D11" s="6" t="s">
        <v>137</v>
      </c>
    </row>
    <row r="12" spans="1:4">
      <c r="A12" s="5" t="s">
        <v>301</v>
      </c>
      <c r="B12" s="5">
        <v>25.5</v>
      </c>
      <c r="C12" s="5">
        <v>0.915</v>
      </c>
      <c r="D12" s="6" t="s">
        <v>137</v>
      </c>
    </row>
    <row r="13" spans="1:4">
      <c r="A13" s="5" t="s">
        <v>302</v>
      </c>
      <c r="B13" s="5">
        <v>29.8</v>
      </c>
      <c r="C13" s="5">
        <v>0.923</v>
      </c>
      <c r="D13" s="6" t="s">
        <v>137</v>
      </c>
    </row>
    <row r="14" spans="1:4">
      <c r="A14" s="5" t="s">
        <v>303</v>
      </c>
      <c r="B14" s="5">
        <v>29.8</v>
      </c>
      <c r="C14" s="5">
        <v>0.923</v>
      </c>
      <c r="D14" s="6" t="s">
        <v>137</v>
      </c>
    </row>
    <row r="15" spans="1:4">
      <c r="A15" s="5" t="s">
        <v>235</v>
      </c>
      <c r="B15" s="5">
        <v>25.7</v>
      </c>
      <c r="C15" s="5">
        <v>0.961</v>
      </c>
      <c r="D15" s="6" t="s">
        <v>137</v>
      </c>
    </row>
    <row r="16" spans="1:4">
      <c r="A16" s="5" t="s">
        <v>304</v>
      </c>
      <c r="B16" s="5">
        <v>25.7</v>
      </c>
      <c r="C16" s="5">
        <v>0.961</v>
      </c>
      <c r="D16" s="6" t="s">
        <v>137</v>
      </c>
    </row>
    <row r="17" spans="1:4">
      <c r="A17" s="5" t="s">
        <v>217</v>
      </c>
      <c r="B17" s="5">
        <v>31.4</v>
      </c>
      <c r="C17" s="5">
        <v>1.06</v>
      </c>
      <c r="D17" s="6" t="s">
        <v>137</v>
      </c>
    </row>
    <row r="18" spans="1:4">
      <c r="A18" s="5" t="s">
        <v>305</v>
      </c>
      <c r="B18" s="5">
        <v>31.4</v>
      </c>
      <c r="C18" s="5">
        <v>1.06</v>
      </c>
      <c r="D18" s="6" t="s">
        <v>137</v>
      </c>
    </row>
    <row r="19" spans="1:4">
      <c r="A19" s="5" t="s">
        <v>306</v>
      </c>
      <c r="B19" s="5">
        <v>37.3</v>
      </c>
      <c r="C19" s="5">
        <v>1.07</v>
      </c>
      <c r="D19" s="6" t="s">
        <v>137</v>
      </c>
    </row>
    <row r="20" spans="1:4">
      <c r="A20" s="5" t="s">
        <v>307</v>
      </c>
      <c r="B20" s="5">
        <v>37.3</v>
      </c>
      <c r="C20" s="5">
        <v>1.07</v>
      </c>
      <c r="D20" s="6" t="s">
        <v>137</v>
      </c>
    </row>
    <row r="21" spans="1:4">
      <c r="A21" s="5" t="s">
        <v>308</v>
      </c>
      <c r="B21" s="5">
        <v>37.5</v>
      </c>
      <c r="C21" s="5">
        <v>1.07</v>
      </c>
      <c r="D21" s="6" t="s">
        <v>137</v>
      </c>
    </row>
    <row r="22" spans="1:4">
      <c r="A22" s="5" t="s">
        <v>204</v>
      </c>
      <c r="B22" s="5">
        <v>32</v>
      </c>
      <c r="C22" s="5">
        <v>1.16</v>
      </c>
      <c r="D22" s="6" t="s">
        <v>137</v>
      </c>
    </row>
    <row r="23" spans="1:4">
      <c r="A23" s="5" t="s">
        <v>309</v>
      </c>
      <c r="B23" s="5">
        <v>40.4</v>
      </c>
      <c r="C23" s="5">
        <v>1.24</v>
      </c>
      <c r="D23" s="6" t="s">
        <v>137</v>
      </c>
    </row>
    <row r="24" spans="1:4">
      <c r="A24" s="5" t="s">
        <v>310</v>
      </c>
      <c r="B24" s="5">
        <v>40.4</v>
      </c>
      <c r="C24" s="5">
        <v>1.24</v>
      </c>
      <c r="D24" s="6" t="s">
        <v>137</v>
      </c>
    </row>
    <row r="25" spans="1:4">
      <c r="A25" s="5" t="s">
        <v>311</v>
      </c>
      <c r="B25" s="5">
        <v>46.2</v>
      </c>
      <c r="C25" s="5">
        <v>1.25</v>
      </c>
      <c r="D25" s="6" t="s">
        <v>137</v>
      </c>
    </row>
    <row r="26" spans="1:4">
      <c r="A26" s="5" t="s">
        <v>312</v>
      </c>
      <c r="B26" s="5">
        <v>46.2</v>
      </c>
      <c r="C26" s="5">
        <v>1.25</v>
      </c>
      <c r="D26" s="6" t="s">
        <v>137</v>
      </c>
    </row>
    <row r="27" spans="1:4">
      <c r="A27" s="5" t="s">
        <v>313</v>
      </c>
      <c r="B27" s="5">
        <v>44.7</v>
      </c>
      <c r="C27" s="5">
        <v>1.36</v>
      </c>
      <c r="D27" s="6" t="s">
        <v>137</v>
      </c>
    </row>
    <row r="28" spans="1:4">
      <c r="A28" s="5" t="s">
        <v>240</v>
      </c>
      <c r="B28" s="5">
        <v>44.7</v>
      </c>
      <c r="C28" s="5">
        <v>1.36</v>
      </c>
      <c r="D28" s="6" t="s">
        <v>137</v>
      </c>
    </row>
    <row r="29" spans="1:4">
      <c r="A29" s="5" t="s">
        <v>314</v>
      </c>
      <c r="B29" s="5">
        <v>44.7</v>
      </c>
      <c r="C29" s="5">
        <v>1.36</v>
      </c>
      <c r="D29" s="6" t="s">
        <v>137</v>
      </c>
    </row>
    <row r="30" spans="1:4">
      <c r="A30" s="5" t="s">
        <v>315</v>
      </c>
      <c r="B30" s="5">
        <v>50.7</v>
      </c>
      <c r="C30" s="5">
        <v>1.36</v>
      </c>
      <c r="D30" s="6" t="s">
        <v>137</v>
      </c>
    </row>
    <row r="31" spans="1:4">
      <c r="A31" s="5" t="s">
        <v>316</v>
      </c>
      <c r="B31" s="5">
        <v>50.7</v>
      </c>
      <c r="C31" s="5">
        <v>1.36</v>
      </c>
      <c r="D31" s="6" t="s">
        <v>137</v>
      </c>
    </row>
    <row r="32" spans="1:4">
      <c r="A32" s="5" t="s">
        <v>317</v>
      </c>
      <c r="B32" s="5">
        <v>50.7</v>
      </c>
      <c r="C32" s="5">
        <v>1.36</v>
      </c>
      <c r="D32" s="6" t="s">
        <v>137</v>
      </c>
    </row>
    <row r="33" spans="1:4">
      <c r="A33" s="5" t="s">
        <v>318</v>
      </c>
      <c r="B33" s="5">
        <v>56.7</v>
      </c>
      <c r="C33" s="5">
        <v>1.37</v>
      </c>
      <c r="D33" s="6" t="s">
        <v>137</v>
      </c>
    </row>
    <row r="34" spans="1:4">
      <c r="A34" s="5" t="s">
        <v>319</v>
      </c>
      <c r="B34" s="5">
        <v>56.7</v>
      </c>
      <c r="C34" s="5">
        <v>1.37</v>
      </c>
      <c r="D34" s="6" t="s">
        <v>137</v>
      </c>
    </row>
    <row r="35" spans="1:4">
      <c r="A35" s="5" t="s">
        <v>213</v>
      </c>
      <c r="B35" s="5">
        <v>53.7</v>
      </c>
      <c r="C35" s="5">
        <v>1.48</v>
      </c>
      <c r="D35" s="6" t="s">
        <v>137</v>
      </c>
    </row>
    <row r="36" spans="1:4">
      <c r="A36" s="5" t="s">
        <v>320</v>
      </c>
      <c r="B36" s="5">
        <v>53.7</v>
      </c>
      <c r="C36" s="5">
        <v>1.48</v>
      </c>
      <c r="D36" s="6" t="s">
        <v>137</v>
      </c>
    </row>
    <row r="37" spans="1:4">
      <c r="A37" s="5" t="s">
        <v>321</v>
      </c>
      <c r="B37" s="5">
        <v>53.7</v>
      </c>
      <c r="C37" s="5">
        <v>1.48</v>
      </c>
      <c r="D37" s="6" t="s">
        <v>137</v>
      </c>
    </row>
    <row r="38" spans="1:4">
      <c r="A38" s="5" t="s">
        <v>322</v>
      </c>
      <c r="B38" s="5">
        <v>59.7</v>
      </c>
      <c r="C38" s="5">
        <v>1.49</v>
      </c>
      <c r="D38" s="6" t="s">
        <v>137</v>
      </c>
    </row>
    <row r="39" spans="1:4">
      <c r="A39" s="5" t="s">
        <v>323</v>
      </c>
      <c r="B39" s="5">
        <v>59.7</v>
      </c>
      <c r="C39" s="5">
        <v>1.49</v>
      </c>
      <c r="D39" s="6" t="s">
        <v>137</v>
      </c>
    </row>
    <row r="40" spans="1:4">
      <c r="A40" s="5" t="s">
        <v>324</v>
      </c>
      <c r="B40" s="5">
        <v>67.1</v>
      </c>
      <c r="C40" s="5">
        <v>1.63</v>
      </c>
      <c r="D40" s="6" t="s">
        <v>137</v>
      </c>
    </row>
    <row r="41" spans="1:4">
      <c r="A41" s="5" t="s">
        <v>228</v>
      </c>
      <c r="B41" s="5">
        <v>67.1</v>
      </c>
      <c r="C41" s="5">
        <v>1.63</v>
      </c>
      <c r="D41" s="6" t="s">
        <v>137</v>
      </c>
    </row>
    <row r="42" spans="1:4">
      <c r="A42" s="5" t="s">
        <v>325</v>
      </c>
      <c r="B42" s="5">
        <v>74.6</v>
      </c>
      <c r="C42" s="5">
        <v>1.64</v>
      </c>
      <c r="D42" s="6" t="s">
        <v>137</v>
      </c>
    </row>
    <row r="43" spans="1:4">
      <c r="A43" s="5" t="s">
        <v>326</v>
      </c>
      <c r="B43" s="5">
        <v>74.6</v>
      </c>
      <c r="C43" s="5">
        <v>1.64</v>
      </c>
      <c r="D43" s="6" t="s">
        <v>137</v>
      </c>
    </row>
    <row r="44" spans="1:4">
      <c r="A44" s="5" t="s">
        <v>327</v>
      </c>
      <c r="B44" s="5">
        <v>82.1</v>
      </c>
      <c r="C44" s="5">
        <v>1.65</v>
      </c>
      <c r="D44" s="6" t="s">
        <v>137</v>
      </c>
    </row>
    <row r="45" spans="1:4">
      <c r="A45" s="5" t="s">
        <v>328</v>
      </c>
      <c r="B45" s="5">
        <v>82</v>
      </c>
      <c r="C45" s="5">
        <v>1.85</v>
      </c>
      <c r="D45" s="6" t="s">
        <v>137</v>
      </c>
    </row>
    <row r="46" spans="1:4">
      <c r="A46" s="5" t="s">
        <v>329</v>
      </c>
      <c r="B46" s="5">
        <v>92.4</v>
      </c>
      <c r="C46" s="5">
        <v>1.86</v>
      </c>
      <c r="D46" s="6" t="s">
        <v>137</v>
      </c>
    </row>
    <row r="47" spans="1:4">
      <c r="A47" s="5" t="s">
        <v>330</v>
      </c>
      <c r="B47" s="5">
        <v>92.4</v>
      </c>
      <c r="C47" s="5">
        <v>1.86</v>
      </c>
      <c r="D47" s="6" t="s">
        <v>137</v>
      </c>
    </row>
    <row r="48" spans="1:4">
      <c r="A48" s="5" t="s">
        <v>270</v>
      </c>
      <c r="B48" s="5">
        <v>101</v>
      </c>
      <c r="C48" s="5">
        <v>2.07</v>
      </c>
      <c r="D48" s="6" t="s">
        <v>137</v>
      </c>
    </row>
    <row r="49" spans="1:4">
      <c r="A49" s="5" t="s">
        <v>331</v>
      </c>
      <c r="B49" s="5">
        <v>113</v>
      </c>
      <c r="C49" s="5">
        <v>2.08</v>
      </c>
      <c r="D49" s="6" t="s">
        <v>137</v>
      </c>
    </row>
    <row r="50" spans="1:4">
      <c r="A50" s="5" t="s">
        <v>332</v>
      </c>
      <c r="B50" s="5">
        <v>125</v>
      </c>
      <c r="C50" s="5">
        <v>2.09</v>
      </c>
      <c r="D50" s="6" t="s">
        <v>137</v>
      </c>
    </row>
    <row r="51" spans="1:4">
      <c r="A51" s="5" t="s">
        <v>333</v>
      </c>
      <c r="B51" s="5">
        <v>14.8</v>
      </c>
      <c r="C51" s="5">
        <v>0.563</v>
      </c>
      <c r="D51" s="6" t="s">
        <v>137</v>
      </c>
    </row>
    <row r="52" spans="1:4">
      <c r="A52" s="5" t="s">
        <v>334</v>
      </c>
      <c r="B52" s="5">
        <v>14.8</v>
      </c>
      <c r="C52" s="5">
        <v>0.563</v>
      </c>
      <c r="D52" s="6" t="s">
        <v>137</v>
      </c>
    </row>
    <row r="53" spans="1:4">
      <c r="A53" s="5" t="s">
        <v>335</v>
      </c>
      <c r="B53" s="5">
        <v>23.4</v>
      </c>
      <c r="C53" s="5">
        <v>0.889</v>
      </c>
      <c r="D53" s="6" t="s">
        <v>137</v>
      </c>
    </row>
    <row r="54" spans="1:4">
      <c r="A54" s="5" t="s">
        <v>336</v>
      </c>
      <c r="B54" s="5">
        <v>23.4</v>
      </c>
      <c r="C54" s="5">
        <v>0.889</v>
      </c>
      <c r="D54" s="6" t="s">
        <v>137</v>
      </c>
    </row>
    <row r="55" spans="1:4">
      <c r="A55" s="5" t="s">
        <v>337</v>
      </c>
      <c r="B55" s="5">
        <v>30</v>
      </c>
      <c r="C55" s="5">
        <v>0.9</v>
      </c>
      <c r="D55" s="6" t="s">
        <v>137</v>
      </c>
    </row>
    <row r="56" spans="1:4">
      <c r="A56" s="5" t="s">
        <v>338</v>
      </c>
      <c r="B56" s="5">
        <v>37.2</v>
      </c>
      <c r="C56" s="5">
        <v>0.912</v>
      </c>
      <c r="D56" s="6" t="s">
        <v>137</v>
      </c>
    </row>
    <row r="57" spans="1:4">
      <c r="A57" s="5" t="s">
        <v>339</v>
      </c>
      <c r="B57" s="5">
        <v>37.2</v>
      </c>
      <c r="C57" s="5">
        <v>0.912</v>
      </c>
      <c r="D57" s="6" t="s">
        <v>137</v>
      </c>
    </row>
    <row r="58" spans="1:4">
      <c r="A58" s="5" t="s">
        <v>340</v>
      </c>
      <c r="B58" s="5">
        <v>46.2</v>
      </c>
      <c r="C58" s="5">
        <v>1.19</v>
      </c>
      <c r="D58" s="6" t="s">
        <v>137</v>
      </c>
    </row>
    <row r="59" spans="1:4">
      <c r="A59" s="5" t="s">
        <v>230</v>
      </c>
      <c r="B59" s="5">
        <v>46.2</v>
      </c>
      <c r="C59" s="5">
        <v>1.19</v>
      </c>
      <c r="D59" s="6" t="s">
        <v>137</v>
      </c>
    </row>
    <row r="60" spans="1:4">
      <c r="A60" s="5" t="s">
        <v>341</v>
      </c>
      <c r="B60" s="5">
        <v>52.2</v>
      </c>
      <c r="C60" s="5">
        <v>1.19</v>
      </c>
      <c r="D60" s="6" t="s">
        <v>137</v>
      </c>
    </row>
    <row r="61" spans="1:4">
      <c r="A61" s="5" t="s">
        <v>342</v>
      </c>
      <c r="B61" s="5">
        <v>52.2</v>
      </c>
      <c r="C61" s="5">
        <v>1.19</v>
      </c>
      <c r="D61" s="6" t="s">
        <v>137</v>
      </c>
    </row>
    <row r="62" spans="1:4">
      <c r="A62" s="5" t="s">
        <v>343</v>
      </c>
      <c r="B62" s="5">
        <v>59.5</v>
      </c>
      <c r="C62" s="5">
        <v>1.2</v>
      </c>
      <c r="D62" s="6" t="s">
        <v>137</v>
      </c>
    </row>
    <row r="63" spans="1:4">
      <c r="A63" s="5" t="s">
        <v>344</v>
      </c>
      <c r="B63" s="5">
        <v>59.5</v>
      </c>
      <c r="C63" s="5">
        <v>1.2</v>
      </c>
      <c r="D63" s="6" t="s">
        <v>137</v>
      </c>
    </row>
    <row r="64" spans="1:4">
      <c r="A64" s="5" t="s">
        <v>345</v>
      </c>
      <c r="B64" s="5">
        <v>72.9</v>
      </c>
      <c r="C64" s="5">
        <v>1.48</v>
      </c>
      <c r="D64" s="6" t="s">
        <v>137</v>
      </c>
    </row>
    <row r="65" spans="1:4">
      <c r="A65" s="5" t="s">
        <v>346</v>
      </c>
      <c r="B65" s="5">
        <v>72.9</v>
      </c>
      <c r="C65" s="5">
        <v>1.48</v>
      </c>
      <c r="D65" s="6" t="s">
        <v>137</v>
      </c>
    </row>
    <row r="66" spans="1:4">
      <c r="A66" s="5" t="s">
        <v>347</v>
      </c>
      <c r="B66" s="5">
        <v>89.5</v>
      </c>
      <c r="C66" s="5">
        <v>1.5</v>
      </c>
      <c r="D66" s="6" t="s">
        <v>137</v>
      </c>
    </row>
    <row r="67" spans="1:4">
      <c r="A67" s="5" t="s">
        <v>348</v>
      </c>
      <c r="B67" s="5">
        <v>89.5</v>
      </c>
      <c r="C67" s="5">
        <v>1.5</v>
      </c>
      <c r="D67" s="6" t="s">
        <v>137</v>
      </c>
    </row>
    <row r="68" spans="1:4">
      <c r="A68" s="5" t="s">
        <v>349</v>
      </c>
      <c r="B68" s="5">
        <v>96.8</v>
      </c>
      <c r="C68" s="5">
        <v>1.79</v>
      </c>
      <c r="D68" s="6" t="s">
        <v>137</v>
      </c>
    </row>
    <row r="69" spans="1:4">
      <c r="A69" s="5" t="s">
        <v>350</v>
      </c>
      <c r="B69" s="5">
        <v>96.8</v>
      </c>
      <c r="C69" s="5">
        <v>1.79</v>
      </c>
      <c r="D69" s="6" t="s">
        <v>137</v>
      </c>
    </row>
    <row r="70" spans="1:4">
      <c r="A70" s="5" t="s">
        <v>351</v>
      </c>
      <c r="B70" s="5">
        <v>96.8</v>
      </c>
      <c r="C70" s="5">
        <v>1.79</v>
      </c>
      <c r="D70" s="6" t="s">
        <v>137</v>
      </c>
    </row>
    <row r="71" spans="1:4">
      <c r="A71" s="5" t="s">
        <v>352</v>
      </c>
      <c r="B71" s="5">
        <v>118</v>
      </c>
      <c r="C71" s="5">
        <v>1.81</v>
      </c>
      <c r="D71" s="6" t="s">
        <v>137</v>
      </c>
    </row>
    <row r="72" spans="1:4">
      <c r="A72" s="5" t="s">
        <v>353</v>
      </c>
      <c r="B72" s="5">
        <v>137</v>
      </c>
      <c r="C72" s="5">
        <v>1.82</v>
      </c>
      <c r="D72" s="6" t="s">
        <v>137</v>
      </c>
    </row>
    <row r="73" spans="1:4">
      <c r="A73" s="5" t="s">
        <v>354</v>
      </c>
      <c r="B73" s="5">
        <v>158</v>
      </c>
      <c r="C73" s="5">
        <v>1.84</v>
      </c>
      <c r="D73" s="6" t="s">
        <v>137</v>
      </c>
    </row>
    <row r="74" spans="1:4">
      <c r="A74" s="5" t="s">
        <v>355</v>
      </c>
      <c r="B74" s="5">
        <v>197</v>
      </c>
      <c r="C74" s="5">
        <v>2.02</v>
      </c>
      <c r="D74" s="6" t="s">
        <v>141</v>
      </c>
    </row>
    <row r="75" spans="1:4">
      <c r="A75" s="5" t="s">
        <v>356</v>
      </c>
      <c r="B75" s="5">
        <v>230</v>
      </c>
      <c r="C75" s="5">
        <v>2.03</v>
      </c>
      <c r="D75" s="6" t="s">
        <v>141</v>
      </c>
    </row>
    <row r="76" spans="1:4">
      <c r="A76" s="5" t="s">
        <v>357</v>
      </c>
      <c r="B76" s="5">
        <v>258</v>
      </c>
      <c r="C76" s="5">
        <v>2.04</v>
      </c>
      <c r="D76" s="6" t="s">
        <v>141</v>
      </c>
    </row>
    <row r="77" spans="1:4">
      <c r="A77" s="5" t="s">
        <v>358</v>
      </c>
      <c r="B77" s="5">
        <v>280</v>
      </c>
      <c r="C77" s="5">
        <v>2.05</v>
      </c>
      <c r="D77" s="6" t="s">
        <v>141</v>
      </c>
    </row>
    <row r="78" spans="1:4">
      <c r="A78" s="5" t="s">
        <v>359</v>
      </c>
      <c r="B78" s="5">
        <v>144</v>
      </c>
      <c r="C78" s="5">
        <v>2.33</v>
      </c>
      <c r="D78" s="6" t="s">
        <v>141</v>
      </c>
    </row>
    <row r="79" spans="1:4">
      <c r="A79" s="5" t="s">
        <v>360</v>
      </c>
      <c r="B79" s="5">
        <v>181</v>
      </c>
      <c r="C79" s="5">
        <v>2.34</v>
      </c>
      <c r="D79" s="6" t="s">
        <v>141</v>
      </c>
    </row>
    <row r="80" spans="1:4">
      <c r="A80" s="5" t="s">
        <v>361</v>
      </c>
      <c r="B80" s="5">
        <v>212</v>
      </c>
      <c r="C80" s="5">
        <v>2.36</v>
      </c>
      <c r="D80" s="6" t="s">
        <v>141</v>
      </c>
    </row>
    <row r="81" spans="1:4">
      <c r="A81" s="5" t="s">
        <v>362</v>
      </c>
      <c r="B81" s="5">
        <v>270</v>
      </c>
      <c r="C81" s="5">
        <v>2.38</v>
      </c>
      <c r="D81" s="6" t="s">
        <v>141</v>
      </c>
    </row>
    <row r="82" spans="1:4">
      <c r="A82" s="5" t="s">
        <v>363</v>
      </c>
      <c r="B82" s="5">
        <v>303</v>
      </c>
      <c r="C82" s="5">
        <v>2.39</v>
      </c>
      <c r="D82" s="6" t="s">
        <v>141</v>
      </c>
    </row>
    <row r="83" spans="1:4">
      <c r="A83" s="5" t="s">
        <v>364</v>
      </c>
      <c r="B83" s="5">
        <v>361</v>
      </c>
      <c r="C83" s="5">
        <v>2.38</v>
      </c>
      <c r="D83" s="6" t="s">
        <v>141</v>
      </c>
    </row>
    <row r="84" spans="1:4">
      <c r="A84" s="5" t="s">
        <v>365</v>
      </c>
      <c r="B84" s="5">
        <v>328</v>
      </c>
      <c r="C84" s="5">
        <v>2.4</v>
      </c>
      <c r="D84" s="6" t="s">
        <v>141</v>
      </c>
    </row>
    <row r="85" spans="1:4">
      <c r="A85" s="5" t="s">
        <v>366</v>
      </c>
      <c r="B85" s="5">
        <v>383</v>
      </c>
      <c r="C85" s="5">
        <v>2.88</v>
      </c>
      <c r="D85" s="6" t="s">
        <v>141</v>
      </c>
    </row>
    <row r="86" spans="1:4">
      <c r="A86" s="5" t="s">
        <v>367</v>
      </c>
      <c r="B86" s="5">
        <v>440</v>
      </c>
      <c r="C86" s="5">
        <v>2.88</v>
      </c>
      <c r="D86" s="6" t="s">
        <v>141</v>
      </c>
    </row>
    <row r="87" spans="1:4">
      <c r="A87" s="5" t="s">
        <v>368</v>
      </c>
      <c r="B87" s="5">
        <v>414</v>
      </c>
      <c r="C87" s="5">
        <v>2.9</v>
      </c>
      <c r="D87" s="6" t="s">
        <v>141</v>
      </c>
    </row>
    <row r="88" spans="1:4">
      <c r="A88" s="5" t="s">
        <v>369</v>
      </c>
      <c r="B88" s="5">
        <v>228</v>
      </c>
      <c r="C88" s="5">
        <v>2.94</v>
      </c>
      <c r="D88" s="6" t="s">
        <v>141</v>
      </c>
    </row>
    <row r="89" spans="1:4">
      <c r="A89" s="5" t="s">
        <v>370</v>
      </c>
      <c r="B89" s="5">
        <v>267</v>
      </c>
      <c r="C89" s="5">
        <v>2.96</v>
      </c>
      <c r="D89" s="6" t="s">
        <v>141</v>
      </c>
    </row>
    <row r="90" spans="1:4">
      <c r="A90" s="5" t="s">
        <v>371</v>
      </c>
      <c r="B90" s="5">
        <v>290</v>
      </c>
      <c r="C90" s="5">
        <v>2.97</v>
      </c>
      <c r="D90" s="6" t="s">
        <v>141</v>
      </c>
    </row>
    <row r="91" spans="1:4">
      <c r="A91" s="5" t="s">
        <v>372</v>
      </c>
      <c r="B91" s="5">
        <v>340</v>
      </c>
      <c r="C91" s="5">
        <v>2.98</v>
      </c>
      <c r="D91" s="6" t="s">
        <v>141</v>
      </c>
    </row>
    <row r="92" spans="1:4">
      <c r="A92" s="5" t="s">
        <v>373</v>
      </c>
      <c r="B92" s="5">
        <v>115</v>
      </c>
      <c r="C92" s="5">
        <v>2.36</v>
      </c>
      <c r="D92" s="6" t="s">
        <v>141</v>
      </c>
    </row>
    <row r="93" spans="1:4">
      <c r="A93" s="5" t="s">
        <v>374</v>
      </c>
      <c r="B93" s="5">
        <v>130</v>
      </c>
      <c r="C93" s="5">
        <v>2.38</v>
      </c>
      <c r="D93" s="6" t="s">
        <v>141</v>
      </c>
    </row>
    <row r="94" spans="1:4">
      <c r="A94" s="5" t="s">
        <v>375</v>
      </c>
      <c r="B94" s="5">
        <v>150</v>
      </c>
      <c r="C94" s="5">
        <v>2.4</v>
      </c>
      <c r="D94" s="6" t="s">
        <v>141</v>
      </c>
    </row>
    <row r="95" spans="1:4">
      <c r="A95" s="5" t="s">
        <v>376</v>
      </c>
      <c r="B95" s="5">
        <v>173</v>
      </c>
      <c r="C95" s="5">
        <v>2.51</v>
      </c>
      <c r="D95" s="6" t="s">
        <v>141</v>
      </c>
    </row>
    <row r="96" spans="1:4">
      <c r="A96" s="5" t="s">
        <v>377</v>
      </c>
      <c r="B96" s="5">
        <v>122</v>
      </c>
      <c r="C96" s="5">
        <v>2.56</v>
      </c>
      <c r="D96" s="6" t="s">
        <v>141</v>
      </c>
    </row>
    <row r="97" spans="1:4">
      <c r="A97" s="5" t="s">
        <v>378</v>
      </c>
      <c r="B97" s="5">
        <v>146</v>
      </c>
      <c r="C97" s="5">
        <v>2.68</v>
      </c>
      <c r="D97" s="6" t="s">
        <v>141</v>
      </c>
    </row>
    <row r="98" spans="1:4">
      <c r="A98" s="5" t="s">
        <v>379</v>
      </c>
      <c r="B98" s="5">
        <v>168</v>
      </c>
      <c r="C98" s="5">
        <v>2.7</v>
      </c>
      <c r="D98" s="6" t="s">
        <v>141</v>
      </c>
    </row>
    <row r="99" spans="1:4">
      <c r="A99" s="5" t="s">
        <v>380</v>
      </c>
      <c r="B99" s="5">
        <v>192</v>
      </c>
      <c r="C99" s="5">
        <v>2.81</v>
      </c>
      <c r="D99" s="6" t="s">
        <v>141</v>
      </c>
    </row>
    <row r="100" spans="1:4">
      <c r="A100" s="5" t="s">
        <v>381</v>
      </c>
      <c r="B100" s="5">
        <v>175</v>
      </c>
      <c r="C100" s="5">
        <v>2.98</v>
      </c>
      <c r="D100" s="6" t="s">
        <v>141</v>
      </c>
    </row>
    <row r="101" spans="1:4">
      <c r="A101" s="5" t="s">
        <v>382</v>
      </c>
      <c r="B101" s="5">
        <v>218</v>
      </c>
      <c r="C101" s="5">
        <v>3.2</v>
      </c>
      <c r="D101" s="6" t="s">
        <v>141</v>
      </c>
    </row>
    <row r="102" spans="1:4">
      <c r="A102" s="5" t="s">
        <v>383</v>
      </c>
      <c r="B102" s="5">
        <v>257</v>
      </c>
      <c r="C102" s="5">
        <v>3.41</v>
      </c>
      <c r="D102" s="6" t="s">
        <v>141</v>
      </c>
    </row>
    <row r="103" spans="1:4">
      <c r="A103" s="5" t="s">
        <v>384</v>
      </c>
      <c r="B103" s="5">
        <v>282</v>
      </c>
      <c r="C103" s="5">
        <v>3.42</v>
      </c>
      <c r="D103" s="6" t="s">
        <v>141</v>
      </c>
    </row>
    <row r="104" spans="1:4">
      <c r="A104" s="5" t="s">
        <v>385</v>
      </c>
      <c r="B104" s="5">
        <v>215</v>
      </c>
      <c r="C104" s="5">
        <v>3.17</v>
      </c>
      <c r="D104" s="6" t="s">
        <v>141</v>
      </c>
    </row>
    <row r="105" spans="1:4">
      <c r="A105" s="5" t="s">
        <v>386</v>
      </c>
      <c r="B105" s="5">
        <v>258</v>
      </c>
      <c r="C105" s="5">
        <v>3.39</v>
      </c>
      <c r="D105" s="6" t="s">
        <v>141</v>
      </c>
    </row>
    <row r="106" spans="1:4">
      <c r="A106" s="5" t="s">
        <v>387</v>
      </c>
      <c r="B106" s="5">
        <v>296</v>
      </c>
      <c r="C106" s="5">
        <v>3.6</v>
      </c>
      <c r="D106" s="6" t="s">
        <v>141</v>
      </c>
    </row>
    <row r="107" spans="1:4">
      <c r="A107" s="5" t="s">
        <v>388</v>
      </c>
      <c r="B107" s="5">
        <v>322</v>
      </c>
      <c r="C107" s="5">
        <v>3.62</v>
      </c>
      <c r="D107" s="6" t="s">
        <v>141</v>
      </c>
    </row>
    <row r="108" spans="1:4">
      <c r="A108" s="5" t="s">
        <v>389</v>
      </c>
      <c r="B108" s="5">
        <v>278</v>
      </c>
      <c r="C108" s="5">
        <v>3.71</v>
      </c>
      <c r="D108" s="6" t="s">
        <v>141</v>
      </c>
    </row>
    <row r="109" spans="1:4">
      <c r="A109" s="5" t="s">
        <v>390</v>
      </c>
      <c r="B109" s="5">
        <v>249</v>
      </c>
      <c r="C109" s="5">
        <v>3.41</v>
      </c>
      <c r="D109" s="6" t="s">
        <v>141</v>
      </c>
    </row>
    <row r="110" spans="1:4">
      <c r="A110" s="5" t="s">
        <v>391</v>
      </c>
      <c r="B110" s="5">
        <v>317</v>
      </c>
      <c r="C110" s="5">
        <v>3.92</v>
      </c>
      <c r="D110" s="6" t="s">
        <v>141</v>
      </c>
    </row>
    <row r="111" spans="1:4">
      <c r="A111" s="5" t="s">
        <v>392</v>
      </c>
      <c r="B111" s="5">
        <v>392</v>
      </c>
      <c r="C111" s="5">
        <v>4.34</v>
      </c>
      <c r="D111" s="6" t="s">
        <v>141</v>
      </c>
    </row>
    <row r="112" spans="1:4">
      <c r="A112" s="5" t="s">
        <v>393</v>
      </c>
      <c r="B112" s="5">
        <v>342</v>
      </c>
      <c r="C112" s="5">
        <v>3.94</v>
      </c>
      <c r="D112" s="6" t="s">
        <v>141</v>
      </c>
    </row>
    <row r="113" spans="1:4">
      <c r="A113" s="5" t="s">
        <v>394</v>
      </c>
      <c r="B113" s="5">
        <v>423</v>
      </c>
      <c r="C113" s="5">
        <v>4.35</v>
      </c>
      <c r="D113" s="6" t="s">
        <v>141</v>
      </c>
    </row>
    <row r="114" spans="1:4">
      <c r="A114" s="5" t="s">
        <v>395</v>
      </c>
      <c r="B114" s="5">
        <v>455</v>
      </c>
      <c r="C114" s="5">
        <v>4.37</v>
      </c>
      <c r="D114" s="6" t="s">
        <v>141</v>
      </c>
    </row>
    <row r="115" spans="1:4">
      <c r="A115" s="5" t="s">
        <v>396</v>
      </c>
      <c r="B115" s="5">
        <v>0.873</v>
      </c>
      <c r="C115" s="5">
        <v>0.0745</v>
      </c>
      <c r="D115" s="6" t="s">
        <v>138</v>
      </c>
    </row>
    <row r="116" spans="1:4">
      <c r="A116" s="5" t="s">
        <v>397</v>
      </c>
      <c r="B116" s="5">
        <v>1.12</v>
      </c>
      <c r="C116" s="5">
        <v>0.0945</v>
      </c>
      <c r="D116" s="6" t="s">
        <v>138</v>
      </c>
    </row>
    <row r="117" spans="1:4">
      <c r="A117" s="5" t="s">
        <v>398</v>
      </c>
      <c r="B117" s="5">
        <v>1.36</v>
      </c>
      <c r="C117" s="5">
        <v>0.0931</v>
      </c>
      <c r="D117" s="6" t="s">
        <v>138</v>
      </c>
    </row>
    <row r="118" spans="1:4">
      <c r="A118" s="5" t="s">
        <v>399</v>
      </c>
      <c r="B118" s="5">
        <v>1.64</v>
      </c>
      <c r="C118" s="5">
        <v>0.0914</v>
      </c>
      <c r="D118" s="6" t="s">
        <v>138</v>
      </c>
    </row>
    <row r="119" spans="1:4">
      <c r="A119" s="5" t="s">
        <v>400</v>
      </c>
      <c r="B119" s="5">
        <v>1.89</v>
      </c>
      <c r="C119" s="5">
        <v>0.0897</v>
      </c>
      <c r="D119" s="6" t="s">
        <v>138</v>
      </c>
    </row>
    <row r="120" spans="1:4">
      <c r="A120" s="5" t="s">
        <v>401</v>
      </c>
      <c r="B120" s="5">
        <v>1.38</v>
      </c>
      <c r="C120" s="5">
        <v>0.115</v>
      </c>
      <c r="D120" s="6" t="s">
        <v>138</v>
      </c>
    </row>
    <row r="121" spans="1:4">
      <c r="A121" s="5" t="s">
        <v>402</v>
      </c>
      <c r="B121" s="5">
        <v>1.68</v>
      </c>
      <c r="C121" s="5">
        <v>0.113</v>
      </c>
      <c r="D121" s="6" t="s">
        <v>138</v>
      </c>
    </row>
    <row r="122" spans="1:4">
      <c r="A122" s="5" t="s">
        <v>403</v>
      </c>
      <c r="B122" s="5">
        <v>2.03</v>
      </c>
      <c r="C122" s="5">
        <v>0.111</v>
      </c>
      <c r="D122" s="6" t="s">
        <v>138</v>
      </c>
    </row>
    <row r="123" spans="1:4">
      <c r="A123" s="5" t="s">
        <v>404</v>
      </c>
      <c r="B123" s="5">
        <v>2.36</v>
      </c>
      <c r="C123" s="5">
        <v>0.11</v>
      </c>
      <c r="D123" s="6" t="s">
        <v>138</v>
      </c>
    </row>
    <row r="124" spans="1:4">
      <c r="A124" s="5" t="s">
        <v>405</v>
      </c>
      <c r="B124" s="5">
        <v>1.63</v>
      </c>
      <c r="C124" s="5">
        <v>0.135</v>
      </c>
      <c r="D124" s="6" t="s">
        <v>138</v>
      </c>
    </row>
    <row r="125" spans="1:4">
      <c r="A125" s="5" t="s">
        <v>406</v>
      </c>
      <c r="B125" s="5">
        <v>1.99</v>
      </c>
      <c r="C125" s="5">
        <v>0.133</v>
      </c>
      <c r="D125" s="6" t="s">
        <v>138</v>
      </c>
    </row>
    <row r="126" spans="1:4">
      <c r="A126" s="5" t="s">
        <v>407</v>
      </c>
      <c r="B126" s="5">
        <v>2.42</v>
      </c>
      <c r="C126" s="5">
        <v>0.131</v>
      </c>
      <c r="D126" s="6" t="s">
        <v>138</v>
      </c>
    </row>
    <row r="127" spans="1:4">
      <c r="A127" s="5" t="s">
        <v>408</v>
      </c>
      <c r="B127" s="5">
        <v>2.83</v>
      </c>
      <c r="C127" s="5">
        <v>0.13</v>
      </c>
      <c r="D127" s="6" t="s">
        <v>138</v>
      </c>
    </row>
    <row r="128" spans="1:4">
      <c r="A128" s="5" t="s">
        <v>409</v>
      </c>
      <c r="B128" s="5">
        <v>1.88</v>
      </c>
      <c r="C128" s="5">
        <v>0.155</v>
      </c>
      <c r="D128" s="6" t="s">
        <v>138</v>
      </c>
    </row>
    <row r="129" spans="1:4">
      <c r="A129" s="5" t="s">
        <v>410</v>
      </c>
      <c r="B129" s="5">
        <v>2.31</v>
      </c>
      <c r="C129" s="5">
        <v>0.153</v>
      </c>
      <c r="D129" s="6" t="s">
        <v>138</v>
      </c>
    </row>
    <row r="130" spans="1:4">
      <c r="A130" s="5" t="s">
        <v>411</v>
      </c>
      <c r="B130" s="5">
        <v>2.82</v>
      </c>
      <c r="C130" s="5">
        <v>0.151</v>
      </c>
      <c r="D130" s="6" t="s">
        <v>138</v>
      </c>
    </row>
    <row r="131" spans="1:4">
      <c r="A131" s="5" t="s">
        <v>412</v>
      </c>
      <c r="B131" s="5">
        <v>3.3</v>
      </c>
      <c r="C131" s="5">
        <v>0.15</v>
      </c>
      <c r="D131" s="6" t="s">
        <v>138</v>
      </c>
    </row>
    <row r="132" spans="1:4">
      <c r="A132" s="5" t="s">
        <v>413</v>
      </c>
      <c r="B132" s="5">
        <v>4.09</v>
      </c>
      <c r="C132" s="5">
        <v>0.143</v>
      </c>
      <c r="D132" s="6" t="s">
        <v>138</v>
      </c>
    </row>
    <row r="133" spans="1:4">
      <c r="A133" s="5" t="s">
        <v>414</v>
      </c>
      <c r="B133" s="5">
        <v>2.38</v>
      </c>
      <c r="C133" s="5">
        <v>0.195</v>
      </c>
      <c r="D133" s="6" t="s">
        <v>138</v>
      </c>
    </row>
    <row r="134" spans="1:4">
      <c r="A134" s="5" t="s">
        <v>415</v>
      </c>
      <c r="B134" s="5">
        <v>2.93</v>
      </c>
      <c r="C134" s="5">
        <v>0.193</v>
      </c>
      <c r="D134" s="6" t="s">
        <v>138</v>
      </c>
    </row>
    <row r="135" spans="1:4">
      <c r="A135" s="5" t="s">
        <v>416</v>
      </c>
      <c r="B135" s="5">
        <v>3.6</v>
      </c>
      <c r="C135" s="5">
        <v>0.191</v>
      </c>
      <c r="D135" s="6" t="s">
        <v>138</v>
      </c>
    </row>
    <row r="136" spans="1:4">
      <c r="A136" s="5" t="s">
        <v>417</v>
      </c>
      <c r="B136" s="5">
        <v>4.25</v>
      </c>
      <c r="C136" s="5">
        <v>0.19</v>
      </c>
      <c r="D136" s="6" t="s">
        <v>138</v>
      </c>
    </row>
    <row r="137" spans="1:4">
      <c r="A137" s="5" t="s">
        <v>418</v>
      </c>
      <c r="B137" s="5">
        <v>5.35</v>
      </c>
      <c r="C137" s="5">
        <v>0.183</v>
      </c>
      <c r="D137" s="6" t="s">
        <v>138</v>
      </c>
    </row>
    <row r="138" spans="1:4">
      <c r="A138" s="5" t="s">
        <v>419</v>
      </c>
      <c r="B138" s="5">
        <v>6.39</v>
      </c>
      <c r="C138" s="5">
        <v>0.179</v>
      </c>
      <c r="D138" s="6" t="s">
        <v>138</v>
      </c>
    </row>
    <row r="139" spans="1:4">
      <c r="A139" s="5" t="s">
        <v>420</v>
      </c>
      <c r="B139" s="5">
        <v>3.13</v>
      </c>
      <c r="C139" s="5">
        <v>0.255</v>
      </c>
      <c r="D139" s="6" t="s">
        <v>138</v>
      </c>
    </row>
    <row r="140" spans="1:4">
      <c r="A140" s="5" t="s">
        <v>421</v>
      </c>
      <c r="B140" s="5">
        <v>3.88</v>
      </c>
      <c r="C140" s="5">
        <v>0.253</v>
      </c>
      <c r="D140" s="6" t="s">
        <v>138</v>
      </c>
    </row>
    <row r="141" spans="1:4">
      <c r="A141" s="5" t="s">
        <v>422</v>
      </c>
      <c r="B141" s="5">
        <v>4.78</v>
      </c>
      <c r="C141" s="5">
        <v>0.251</v>
      </c>
      <c r="D141" s="6" t="s">
        <v>138</v>
      </c>
    </row>
    <row r="142" spans="1:4">
      <c r="A142" s="5" t="s">
        <v>423</v>
      </c>
      <c r="B142" s="5">
        <v>5.66</v>
      </c>
      <c r="C142" s="5">
        <v>0.25</v>
      </c>
      <c r="D142" s="6" t="s">
        <v>138</v>
      </c>
    </row>
    <row r="143" spans="1:4">
      <c r="A143" s="5" t="s">
        <v>424</v>
      </c>
      <c r="B143" s="5">
        <v>7.23</v>
      </c>
      <c r="C143" s="5">
        <v>0.243</v>
      </c>
      <c r="D143" s="6" t="s">
        <v>138</v>
      </c>
    </row>
    <row r="144" spans="1:4">
      <c r="A144" s="5" t="s">
        <v>425</v>
      </c>
      <c r="B144" s="5">
        <v>8.75</v>
      </c>
      <c r="C144" s="5">
        <v>0.239</v>
      </c>
      <c r="D144" s="6" t="s">
        <v>138</v>
      </c>
    </row>
    <row r="145" spans="1:4">
      <c r="A145" s="5" t="s">
        <v>426</v>
      </c>
      <c r="B145" s="5">
        <v>10.1</v>
      </c>
      <c r="C145" s="5">
        <v>0.234</v>
      </c>
      <c r="D145" s="6" t="s">
        <v>138</v>
      </c>
    </row>
    <row r="146" spans="1:4">
      <c r="A146" s="5" t="s">
        <v>427</v>
      </c>
      <c r="B146" s="5">
        <v>4.5</v>
      </c>
      <c r="C146" s="5">
        <v>0.293</v>
      </c>
      <c r="D146" s="6" t="s">
        <v>138</v>
      </c>
    </row>
    <row r="147" spans="1:4">
      <c r="A147" s="5" t="s">
        <v>428</v>
      </c>
      <c r="B147" s="5">
        <v>5.56</v>
      </c>
      <c r="C147" s="5">
        <v>0.291</v>
      </c>
      <c r="D147" s="6" t="s">
        <v>138</v>
      </c>
    </row>
    <row r="148" spans="1:4">
      <c r="A148" s="5" t="s">
        <v>429</v>
      </c>
      <c r="B148" s="5">
        <v>6.6</v>
      </c>
      <c r="C148" s="5">
        <v>0.29</v>
      </c>
      <c r="D148" s="6" t="s">
        <v>138</v>
      </c>
    </row>
    <row r="149" spans="1:4">
      <c r="A149" s="5" t="s">
        <v>430</v>
      </c>
      <c r="B149" s="5">
        <v>7.53</v>
      </c>
      <c r="C149" s="5">
        <v>0.285</v>
      </c>
      <c r="D149" s="6" t="s">
        <v>138</v>
      </c>
    </row>
    <row r="150" spans="1:4">
      <c r="A150" s="5" t="s">
        <v>431</v>
      </c>
      <c r="B150" s="5">
        <v>8.49</v>
      </c>
      <c r="C150" s="5">
        <v>0.283</v>
      </c>
      <c r="D150" s="6" t="s">
        <v>138</v>
      </c>
    </row>
    <row r="151" spans="1:4">
      <c r="A151" s="5" t="s">
        <v>266</v>
      </c>
      <c r="B151" s="5">
        <v>10.3</v>
      </c>
      <c r="C151" s="5">
        <v>0.279</v>
      </c>
      <c r="D151" s="6" t="s">
        <v>138</v>
      </c>
    </row>
    <row r="152" spans="1:4">
      <c r="A152" s="5" t="s">
        <v>432</v>
      </c>
      <c r="B152" s="5">
        <v>12</v>
      </c>
      <c r="C152" s="5">
        <v>0.274</v>
      </c>
      <c r="D152" s="6" t="s">
        <v>138</v>
      </c>
    </row>
    <row r="153" spans="1:4">
      <c r="A153" s="5" t="s">
        <v>433</v>
      </c>
      <c r="B153" s="5">
        <v>9.06</v>
      </c>
      <c r="C153" s="5">
        <v>0.341</v>
      </c>
      <c r="D153" s="6" t="s">
        <v>138</v>
      </c>
    </row>
    <row r="154" spans="1:4">
      <c r="A154" s="5" t="s">
        <v>434</v>
      </c>
      <c r="B154" s="5">
        <v>9.06</v>
      </c>
      <c r="C154" s="5">
        <v>0.341</v>
      </c>
      <c r="D154" s="6" t="s">
        <v>138</v>
      </c>
    </row>
    <row r="155" spans="1:4">
      <c r="A155" s="5" t="s">
        <v>265</v>
      </c>
      <c r="B155" s="5">
        <v>12.5</v>
      </c>
      <c r="C155" s="5">
        <v>0.334</v>
      </c>
      <c r="D155" s="6" t="s">
        <v>138</v>
      </c>
    </row>
    <row r="156" spans="1:4">
      <c r="A156" s="5" t="s">
        <v>435</v>
      </c>
      <c r="B156" s="5">
        <v>12.5</v>
      </c>
      <c r="C156" s="5">
        <v>0.334</v>
      </c>
      <c r="D156" s="6" t="s">
        <v>138</v>
      </c>
    </row>
    <row r="157" spans="1:4">
      <c r="A157" s="5" t="s">
        <v>192</v>
      </c>
      <c r="B157" s="5">
        <v>14.6</v>
      </c>
      <c r="C157" s="5">
        <v>0.33</v>
      </c>
      <c r="D157" s="6" t="s">
        <v>138</v>
      </c>
    </row>
    <row r="158" spans="1:4">
      <c r="A158" s="5" t="s">
        <v>436</v>
      </c>
      <c r="B158" s="5">
        <v>14.6</v>
      </c>
      <c r="C158" s="5">
        <v>0.33</v>
      </c>
      <c r="D158" s="6" t="s">
        <v>138</v>
      </c>
    </row>
    <row r="159" spans="1:4">
      <c r="A159" s="5" t="s">
        <v>437</v>
      </c>
      <c r="B159" s="5">
        <v>6.07</v>
      </c>
      <c r="C159" s="5">
        <v>0.393</v>
      </c>
      <c r="D159" s="6" t="s">
        <v>138</v>
      </c>
    </row>
    <row r="160" spans="1:4">
      <c r="A160" s="5" t="s">
        <v>438</v>
      </c>
      <c r="B160" s="5">
        <v>7.53</v>
      </c>
      <c r="C160" s="5">
        <v>0.391</v>
      </c>
      <c r="D160" s="6" t="s">
        <v>138</v>
      </c>
    </row>
    <row r="161" spans="1:4">
      <c r="A161" s="5" t="s">
        <v>439</v>
      </c>
      <c r="B161" s="5">
        <v>8.96</v>
      </c>
      <c r="C161" s="5">
        <v>0.39</v>
      </c>
      <c r="D161" s="6" t="s">
        <v>138</v>
      </c>
    </row>
    <row r="162" spans="1:4">
      <c r="A162" s="5" t="s">
        <v>440</v>
      </c>
      <c r="B162" s="5">
        <v>11.6</v>
      </c>
      <c r="C162" s="5">
        <v>0.383</v>
      </c>
      <c r="D162" s="6" t="s">
        <v>138</v>
      </c>
    </row>
    <row r="163" spans="1:4">
      <c r="A163" s="5" t="s">
        <v>441</v>
      </c>
      <c r="B163" s="5">
        <v>14.2</v>
      </c>
      <c r="C163" s="5">
        <v>0.379</v>
      </c>
      <c r="D163" s="6" t="s">
        <v>138</v>
      </c>
    </row>
    <row r="164" spans="1:4">
      <c r="A164" s="5" t="s">
        <v>442</v>
      </c>
      <c r="B164" s="5">
        <v>16.7</v>
      </c>
      <c r="C164" s="5">
        <v>0.374</v>
      </c>
      <c r="D164" s="6" t="s">
        <v>138</v>
      </c>
    </row>
    <row r="165" spans="1:4">
      <c r="A165" s="5" t="s">
        <v>443</v>
      </c>
      <c r="B165" s="5">
        <v>23.5</v>
      </c>
      <c r="C165" s="5">
        <v>0.361</v>
      </c>
      <c r="D165" s="6" t="s">
        <v>140</v>
      </c>
    </row>
    <row r="166" spans="1:4">
      <c r="A166" s="5" t="s">
        <v>444</v>
      </c>
      <c r="B166" s="5">
        <v>23.5</v>
      </c>
      <c r="C166" s="5">
        <v>0.361</v>
      </c>
      <c r="D166" s="6" t="s">
        <v>140</v>
      </c>
    </row>
    <row r="167" spans="1:4">
      <c r="A167" s="5" t="s">
        <v>445</v>
      </c>
      <c r="B167" s="5">
        <v>14.8</v>
      </c>
      <c r="C167" s="5">
        <v>0.483</v>
      </c>
      <c r="D167" s="6" t="s">
        <v>138</v>
      </c>
    </row>
    <row r="168" spans="1:4">
      <c r="A168" s="5" t="s">
        <v>446</v>
      </c>
      <c r="B168" s="5">
        <v>18.2</v>
      </c>
      <c r="C168" s="5">
        <v>0.479</v>
      </c>
      <c r="D168" s="6" t="s">
        <v>138</v>
      </c>
    </row>
    <row r="169" spans="1:4">
      <c r="A169" s="5" t="s">
        <v>243</v>
      </c>
      <c r="B169" s="5">
        <v>21.4</v>
      </c>
      <c r="C169" s="5">
        <v>0.474</v>
      </c>
      <c r="D169" s="6" t="s">
        <v>138</v>
      </c>
    </row>
    <row r="170" spans="1:4">
      <c r="A170" s="5" t="s">
        <v>447</v>
      </c>
      <c r="B170" s="5">
        <v>30.6</v>
      </c>
      <c r="C170" s="5">
        <v>0.461</v>
      </c>
      <c r="D170" s="6" t="s">
        <v>138</v>
      </c>
    </row>
    <row r="171" spans="1:4">
      <c r="A171" s="5" t="s">
        <v>448</v>
      </c>
      <c r="B171" s="5">
        <v>13.7</v>
      </c>
      <c r="C171" s="5">
        <v>0.59</v>
      </c>
      <c r="D171" s="6" t="s">
        <v>138</v>
      </c>
    </row>
    <row r="172" spans="1:4">
      <c r="A172" s="5" t="s">
        <v>194</v>
      </c>
      <c r="B172" s="5">
        <v>17.9</v>
      </c>
      <c r="C172" s="5">
        <v>0.583</v>
      </c>
      <c r="D172" s="6" t="s">
        <v>138</v>
      </c>
    </row>
    <row r="173" spans="1:4">
      <c r="A173" s="5" t="s">
        <v>249</v>
      </c>
      <c r="B173" s="5">
        <v>22.1</v>
      </c>
      <c r="C173" s="5">
        <v>0.579</v>
      </c>
      <c r="D173" s="6" t="s">
        <v>138</v>
      </c>
    </row>
    <row r="174" spans="1:4">
      <c r="A174" s="5" t="s">
        <v>225</v>
      </c>
      <c r="B174" s="5">
        <v>26.2</v>
      </c>
      <c r="C174" s="5">
        <v>0.574</v>
      </c>
      <c r="D174" s="6" t="s">
        <v>138</v>
      </c>
    </row>
    <row r="175" spans="1:4">
      <c r="A175" s="5" t="s">
        <v>449</v>
      </c>
      <c r="B175" s="5">
        <v>37.7</v>
      </c>
      <c r="C175" s="5">
        <v>0.561</v>
      </c>
      <c r="D175" s="6" t="s">
        <v>140</v>
      </c>
    </row>
    <row r="176" spans="1:4">
      <c r="A176" s="5" t="s">
        <v>450</v>
      </c>
      <c r="B176" s="5">
        <v>29.9</v>
      </c>
      <c r="C176" s="5">
        <v>0.779</v>
      </c>
      <c r="D176" s="6" t="s">
        <v>138</v>
      </c>
    </row>
    <row r="177" spans="1:4">
      <c r="A177" s="5" t="s">
        <v>451</v>
      </c>
      <c r="B177" s="5">
        <v>35.6</v>
      </c>
      <c r="C177" s="5">
        <v>0.774</v>
      </c>
      <c r="D177" s="6" t="s">
        <v>138</v>
      </c>
    </row>
    <row r="178" spans="1:4">
      <c r="A178" s="5" t="s">
        <v>452</v>
      </c>
      <c r="B178" s="5">
        <v>51.8</v>
      </c>
      <c r="C178" s="5">
        <v>0.761</v>
      </c>
      <c r="D178" s="6" t="s">
        <v>140</v>
      </c>
    </row>
    <row r="179" spans="1:4">
      <c r="A179" s="5" t="s">
        <v>453</v>
      </c>
      <c r="B179" s="5">
        <v>51.8</v>
      </c>
      <c r="C179" s="5">
        <v>0.761</v>
      </c>
      <c r="D179" s="6" t="s">
        <v>140</v>
      </c>
    </row>
    <row r="180" spans="1:4">
      <c r="A180" s="5" t="s">
        <v>454</v>
      </c>
      <c r="B180" s="5">
        <v>45</v>
      </c>
      <c r="C180" s="5">
        <v>0.974</v>
      </c>
      <c r="D180" s="6" t="s">
        <v>139</v>
      </c>
    </row>
    <row r="181" spans="1:4">
      <c r="A181" s="5" t="s">
        <v>455</v>
      </c>
      <c r="B181" s="5">
        <v>65.9</v>
      </c>
      <c r="C181" s="5">
        <v>0.961</v>
      </c>
      <c r="D181" s="6" t="s">
        <v>139</v>
      </c>
    </row>
    <row r="182" spans="1:4">
      <c r="A182" s="5" t="s">
        <v>456</v>
      </c>
      <c r="B182" s="5">
        <v>2.62</v>
      </c>
      <c r="C182" s="5">
        <v>0.141</v>
      </c>
      <c r="D182" s="6" t="s">
        <v>138</v>
      </c>
    </row>
    <row r="183" spans="1:4">
      <c r="A183" s="5" t="s">
        <v>457</v>
      </c>
      <c r="B183" s="5">
        <v>3.07</v>
      </c>
      <c r="C183" s="5">
        <v>0.14</v>
      </c>
      <c r="D183" s="6" t="s">
        <v>138</v>
      </c>
    </row>
    <row r="184" spans="1:4">
      <c r="A184" s="5" t="s">
        <v>458</v>
      </c>
      <c r="B184" s="5">
        <v>2.93</v>
      </c>
      <c r="C184" s="5">
        <v>0.193</v>
      </c>
      <c r="D184" s="6" t="s">
        <v>138</v>
      </c>
    </row>
    <row r="185" spans="1:4">
      <c r="A185" s="5" t="s">
        <v>459</v>
      </c>
      <c r="B185" s="5">
        <v>3.6</v>
      </c>
      <c r="C185" s="5">
        <v>0.191</v>
      </c>
      <c r="D185" s="6" t="s">
        <v>138</v>
      </c>
    </row>
    <row r="186" spans="1:4">
      <c r="A186" s="5" t="s">
        <v>460</v>
      </c>
      <c r="B186" s="5">
        <v>4.25</v>
      </c>
      <c r="C186" s="5">
        <v>0.19</v>
      </c>
      <c r="D186" s="6" t="s">
        <v>138</v>
      </c>
    </row>
    <row r="187" spans="1:4">
      <c r="A187" s="5" t="s">
        <v>461</v>
      </c>
      <c r="B187" s="5">
        <v>2.38</v>
      </c>
      <c r="C187" s="5">
        <v>0.195</v>
      </c>
      <c r="D187" s="6" t="s">
        <v>138</v>
      </c>
    </row>
    <row r="188" spans="1:4">
      <c r="A188" s="5" t="s">
        <v>462</v>
      </c>
      <c r="B188" s="5">
        <v>2.93</v>
      </c>
      <c r="C188" s="5">
        <v>0.193</v>
      </c>
      <c r="D188" s="6" t="s">
        <v>138</v>
      </c>
    </row>
    <row r="189" spans="1:4">
      <c r="A189" s="5" t="s">
        <v>463</v>
      </c>
      <c r="B189" s="5">
        <v>3.6</v>
      </c>
      <c r="C189" s="5">
        <v>0.191</v>
      </c>
      <c r="D189" s="6" t="s">
        <v>138</v>
      </c>
    </row>
    <row r="190" spans="1:4">
      <c r="A190" s="5" t="s">
        <v>464</v>
      </c>
      <c r="B190" s="5">
        <v>3.01</v>
      </c>
      <c r="C190" s="5">
        <v>0.245</v>
      </c>
      <c r="D190" s="6" t="s">
        <v>138</v>
      </c>
    </row>
    <row r="191" spans="1:4">
      <c r="A191" s="5" t="s">
        <v>465</v>
      </c>
      <c r="B191" s="5">
        <v>3.72</v>
      </c>
      <c r="C191" s="5">
        <v>0.243</v>
      </c>
      <c r="D191" s="6" t="s">
        <v>138</v>
      </c>
    </row>
    <row r="192" spans="1:4">
      <c r="A192" s="5" t="s">
        <v>466</v>
      </c>
      <c r="B192" s="5">
        <v>4.58</v>
      </c>
      <c r="C192" s="5">
        <v>0.241</v>
      </c>
      <c r="D192" s="6" t="s">
        <v>138</v>
      </c>
    </row>
    <row r="193" spans="1:4">
      <c r="A193" s="5" t="s">
        <v>467</v>
      </c>
      <c r="B193" s="5">
        <v>5.42</v>
      </c>
      <c r="C193" s="5">
        <v>0.24</v>
      </c>
      <c r="D193" s="6" t="s">
        <v>138</v>
      </c>
    </row>
    <row r="194" spans="1:4">
      <c r="A194" s="5" t="s">
        <v>468</v>
      </c>
      <c r="B194" s="5">
        <v>6.92</v>
      </c>
      <c r="C194" s="5">
        <v>0.233</v>
      </c>
      <c r="D194" s="6" t="s">
        <v>138</v>
      </c>
    </row>
    <row r="195" spans="1:4">
      <c r="A195" s="5" t="s">
        <v>469</v>
      </c>
      <c r="B195" s="5">
        <v>8.35</v>
      </c>
      <c r="C195" s="5">
        <v>0.229</v>
      </c>
      <c r="D195" s="6" t="s">
        <v>138</v>
      </c>
    </row>
    <row r="196" spans="1:4">
      <c r="A196" s="5" t="s">
        <v>470</v>
      </c>
      <c r="B196" s="5">
        <v>9.67</v>
      </c>
      <c r="C196" s="5">
        <v>0.224</v>
      </c>
      <c r="D196" s="6" t="s">
        <v>138</v>
      </c>
    </row>
    <row r="197" spans="1:4">
      <c r="A197" s="5" t="s">
        <v>471</v>
      </c>
      <c r="B197" s="5">
        <v>3.64</v>
      </c>
      <c r="C197" s="5">
        <v>0.295</v>
      </c>
      <c r="D197" s="6" t="s">
        <v>138</v>
      </c>
    </row>
    <row r="198" spans="1:4">
      <c r="A198" s="5" t="s">
        <v>472</v>
      </c>
      <c r="B198" s="5">
        <v>4.5</v>
      </c>
      <c r="C198" s="5">
        <v>0.293</v>
      </c>
      <c r="D198" s="6" t="s">
        <v>138</v>
      </c>
    </row>
    <row r="199" spans="1:4">
      <c r="A199" s="5" t="s">
        <v>473</v>
      </c>
      <c r="B199" s="5">
        <v>5.56</v>
      </c>
      <c r="C199" s="5">
        <v>0.291</v>
      </c>
      <c r="D199" s="6" t="s">
        <v>138</v>
      </c>
    </row>
    <row r="200" spans="1:4">
      <c r="A200" s="5" t="s">
        <v>474</v>
      </c>
      <c r="B200" s="5">
        <v>6.6</v>
      </c>
      <c r="C200" s="5">
        <v>0.29</v>
      </c>
      <c r="D200" s="6" t="s">
        <v>138</v>
      </c>
    </row>
    <row r="201" spans="1:4">
      <c r="A201" s="5" t="s">
        <v>475</v>
      </c>
      <c r="B201" s="5">
        <v>7.53</v>
      </c>
      <c r="C201" s="5">
        <v>0.285</v>
      </c>
      <c r="D201" s="6" t="s">
        <v>138</v>
      </c>
    </row>
    <row r="202" spans="1:4">
      <c r="A202" s="5" t="s">
        <v>476</v>
      </c>
      <c r="B202" s="5">
        <v>8.49</v>
      </c>
      <c r="C202" s="5">
        <v>0.283</v>
      </c>
      <c r="D202" s="6" t="s">
        <v>138</v>
      </c>
    </row>
    <row r="203" spans="1:4">
      <c r="A203" s="5" t="s">
        <v>477</v>
      </c>
      <c r="B203" s="5">
        <v>10.3</v>
      </c>
      <c r="C203" s="5">
        <v>0.279</v>
      </c>
      <c r="D203" s="6" t="s">
        <v>138</v>
      </c>
    </row>
    <row r="204" spans="1:4">
      <c r="A204" s="5" t="s">
        <v>478</v>
      </c>
      <c r="B204" s="5">
        <v>12</v>
      </c>
      <c r="C204" s="5">
        <v>0.274</v>
      </c>
      <c r="D204" s="6" t="s">
        <v>138</v>
      </c>
    </row>
    <row r="205" spans="1:4">
      <c r="A205" s="5" t="s">
        <v>479</v>
      </c>
      <c r="B205" s="5">
        <v>6.07</v>
      </c>
      <c r="C205" s="5">
        <v>0.393</v>
      </c>
      <c r="D205" s="6" t="s">
        <v>138</v>
      </c>
    </row>
    <row r="206" spans="1:4">
      <c r="A206" s="5" t="s">
        <v>480</v>
      </c>
      <c r="B206" s="5">
        <v>7.53</v>
      </c>
      <c r="C206" s="5">
        <v>0.391</v>
      </c>
      <c r="D206" s="6" t="s">
        <v>138</v>
      </c>
    </row>
    <row r="207" spans="1:4">
      <c r="A207" s="5" t="s">
        <v>481</v>
      </c>
      <c r="B207" s="5">
        <v>8.96</v>
      </c>
      <c r="C207" s="5">
        <v>0.39</v>
      </c>
      <c r="D207" s="6" t="s">
        <v>138</v>
      </c>
    </row>
    <row r="208" spans="1:4">
      <c r="A208" s="5" t="s">
        <v>482</v>
      </c>
      <c r="B208" s="5">
        <v>11.6</v>
      </c>
      <c r="C208" s="5">
        <v>0.383</v>
      </c>
      <c r="D208" s="6" t="s">
        <v>138</v>
      </c>
    </row>
    <row r="209" spans="1:4">
      <c r="A209" s="5" t="s">
        <v>483</v>
      </c>
      <c r="B209" s="5">
        <v>14.2</v>
      </c>
      <c r="C209" s="5">
        <v>0.379</v>
      </c>
      <c r="D209" s="6" t="s">
        <v>138</v>
      </c>
    </row>
    <row r="210" spans="1:4">
      <c r="A210" s="5" t="s">
        <v>484</v>
      </c>
      <c r="B210" s="5">
        <v>16.7</v>
      </c>
      <c r="C210" s="5">
        <v>0.374</v>
      </c>
      <c r="D210" s="6" t="s">
        <v>138</v>
      </c>
    </row>
    <row r="211" spans="1:4">
      <c r="A211" s="5" t="s">
        <v>485</v>
      </c>
      <c r="B211" s="5">
        <v>6.07</v>
      </c>
      <c r="C211" s="5">
        <v>0.393</v>
      </c>
      <c r="D211" s="6" t="s">
        <v>138</v>
      </c>
    </row>
    <row r="212" spans="1:4">
      <c r="A212" s="5" t="s">
        <v>486</v>
      </c>
      <c r="B212" s="5">
        <v>7.53</v>
      </c>
      <c r="C212" s="5">
        <v>0.391</v>
      </c>
      <c r="D212" s="6" t="s">
        <v>138</v>
      </c>
    </row>
    <row r="213" spans="1:4">
      <c r="A213" s="5" t="s">
        <v>487</v>
      </c>
      <c r="B213" s="5">
        <v>8.96</v>
      </c>
      <c r="C213" s="5">
        <v>0.39</v>
      </c>
      <c r="D213" s="6" t="s">
        <v>138</v>
      </c>
    </row>
    <row r="214" spans="1:4">
      <c r="A214" s="5" t="s">
        <v>488</v>
      </c>
      <c r="B214" s="5">
        <v>11.6</v>
      </c>
      <c r="C214" s="5">
        <v>0.383</v>
      </c>
      <c r="D214" s="6" t="s">
        <v>138</v>
      </c>
    </row>
    <row r="215" spans="1:4">
      <c r="A215" s="5" t="s">
        <v>489</v>
      </c>
      <c r="B215" s="5">
        <v>14.2</v>
      </c>
      <c r="C215" s="5">
        <v>0.379</v>
      </c>
      <c r="D215" s="6" t="s">
        <v>138</v>
      </c>
    </row>
    <row r="216" spans="1:4">
      <c r="A216" s="5" t="s">
        <v>490</v>
      </c>
      <c r="B216" s="5">
        <v>16.7</v>
      </c>
      <c r="C216" s="5">
        <v>0.374</v>
      </c>
      <c r="D216" s="6" t="s">
        <v>138</v>
      </c>
    </row>
    <row r="217" spans="1:4">
      <c r="A217" s="5" t="s">
        <v>491</v>
      </c>
      <c r="B217" s="5">
        <v>14.8</v>
      </c>
      <c r="C217" s="5">
        <v>0.483</v>
      </c>
      <c r="D217" s="6" t="s">
        <v>138</v>
      </c>
    </row>
    <row r="218" spans="1:4">
      <c r="A218" s="5" t="s">
        <v>492</v>
      </c>
      <c r="B218" s="5">
        <v>18.2</v>
      </c>
      <c r="C218" s="5">
        <v>0.479</v>
      </c>
      <c r="D218" s="6" t="s">
        <v>138</v>
      </c>
    </row>
    <row r="219" spans="1:4">
      <c r="A219" s="5" t="s">
        <v>493</v>
      </c>
      <c r="B219" s="5">
        <v>21.4</v>
      </c>
      <c r="C219" s="5">
        <v>0.474</v>
      </c>
      <c r="D219" s="6" t="s">
        <v>138</v>
      </c>
    </row>
    <row r="220" spans="1:4">
      <c r="A220" s="5" t="s">
        <v>494</v>
      </c>
      <c r="B220" s="5">
        <v>17.9</v>
      </c>
      <c r="C220" s="5">
        <v>0.583</v>
      </c>
      <c r="D220" s="6" t="s">
        <v>138</v>
      </c>
    </row>
    <row r="221" spans="1:4">
      <c r="A221" s="5" t="s">
        <v>495</v>
      </c>
      <c r="B221" s="5">
        <v>22.1</v>
      </c>
      <c r="C221" s="5">
        <v>0.579</v>
      </c>
      <c r="D221" s="6" t="s">
        <v>138</v>
      </c>
    </row>
    <row r="222" spans="1:4">
      <c r="A222" s="5" t="s">
        <v>496</v>
      </c>
      <c r="B222" s="5">
        <v>26.2</v>
      </c>
      <c r="C222" s="5">
        <v>0.574</v>
      </c>
      <c r="D222" s="6" t="s">
        <v>138</v>
      </c>
    </row>
    <row r="223" spans="1:4">
      <c r="A223" s="5" t="s">
        <v>497</v>
      </c>
      <c r="B223" s="5">
        <v>37.7</v>
      </c>
      <c r="C223" s="5">
        <v>0.561</v>
      </c>
      <c r="D223" s="6" t="s">
        <v>140</v>
      </c>
    </row>
    <row r="224" spans="1:4">
      <c r="A224" s="5" t="s">
        <v>498</v>
      </c>
      <c r="B224" s="5">
        <v>29.9</v>
      </c>
      <c r="C224" s="5">
        <v>0.8</v>
      </c>
      <c r="D224" s="6" t="s">
        <v>138</v>
      </c>
    </row>
    <row r="225" spans="1:4">
      <c r="A225" s="5" t="s">
        <v>499</v>
      </c>
      <c r="B225" s="5">
        <v>35.6</v>
      </c>
      <c r="C225" s="5">
        <v>0.8</v>
      </c>
      <c r="D225" s="6" t="s">
        <v>139</v>
      </c>
    </row>
    <row r="226" spans="1:4">
      <c r="A226" s="5" t="s">
        <v>500</v>
      </c>
      <c r="B226" s="5">
        <v>51.8</v>
      </c>
      <c r="C226" s="5">
        <v>0.8</v>
      </c>
      <c r="D226" s="6" t="s">
        <v>139</v>
      </c>
    </row>
    <row r="227" spans="1:4">
      <c r="A227" s="5" t="s">
        <v>501</v>
      </c>
      <c r="B227" s="5">
        <v>17.7</v>
      </c>
      <c r="C227" s="5">
        <v>0.569</v>
      </c>
      <c r="D227" s="6" t="s">
        <v>137</v>
      </c>
    </row>
    <row r="228" spans="1:4">
      <c r="A228" s="5" t="s">
        <v>502</v>
      </c>
      <c r="B228" s="5">
        <v>20.9</v>
      </c>
      <c r="C228" s="5">
        <v>0.628</v>
      </c>
      <c r="D228" s="6" t="s">
        <v>137</v>
      </c>
    </row>
    <row r="229" spans="1:4">
      <c r="A229" s="5" t="s">
        <v>189</v>
      </c>
      <c r="B229" s="5">
        <v>22.9</v>
      </c>
      <c r="C229" s="5">
        <v>0.668</v>
      </c>
      <c r="D229" s="6" t="s">
        <v>137</v>
      </c>
    </row>
    <row r="230" spans="1:4">
      <c r="A230" s="5" t="s">
        <v>503</v>
      </c>
      <c r="B230" s="5">
        <v>25.1</v>
      </c>
      <c r="C230" s="5">
        <v>0.727</v>
      </c>
      <c r="D230" s="6" t="s">
        <v>137</v>
      </c>
    </row>
    <row r="231" spans="1:4">
      <c r="A231" s="5" t="s">
        <v>504</v>
      </c>
      <c r="B231" s="5">
        <v>35.5</v>
      </c>
      <c r="C231" s="5">
        <v>0.822</v>
      </c>
      <c r="D231" s="6" t="s">
        <v>137</v>
      </c>
    </row>
    <row r="232" spans="1:4">
      <c r="A232" s="5" t="s">
        <v>505</v>
      </c>
      <c r="B232" s="5">
        <v>40.1</v>
      </c>
      <c r="C232" s="5">
        <v>0.92</v>
      </c>
      <c r="D232" s="6" t="s">
        <v>137</v>
      </c>
    </row>
    <row r="233" spans="1:4">
      <c r="A233" s="5" t="s">
        <v>506</v>
      </c>
      <c r="B233" s="5">
        <v>55.2</v>
      </c>
      <c r="C233" s="5">
        <v>1.12</v>
      </c>
      <c r="D233" s="6" t="s">
        <v>137</v>
      </c>
    </row>
    <row r="234" spans="1:4">
      <c r="A234" s="5"/>
      <c r="B234" s="5"/>
      <c r="C234" s="5"/>
      <c r="D234" s="6"/>
    </row>
    <row r="235" spans="1:4">
      <c r="A235" s="7" t="s">
        <v>507</v>
      </c>
      <c r="B235" s="8"/>
      <c r="C235" s="8"/>
      <c r="D235" s="8"/>
    </row>
    <row r="236" spans="1:4">
      <c r="A236" s="5" t="s">
        <v>508</v>
      </c>
      <c r="B236" s="5">
        <v>14</v>
      </c>
      <c r="C236" s="5">
        <v>0.576</v>
      </c>
      <c r="D236" s="6" t="s">
        <v>137</v>
      </c>
    </row>
    <row r="237" spans="1:4">
      <c r="A237" s="5" t="s">
        <v>509</v>
      </c>
      <c r="B237" s="5">
        <v>18</v>
      </c>
      <c r="C237" s="5">
        <v>0.584</v>
      </c>
      <c r="D237" s="6" t="s">
        <v>137</v>
      </c>
    </row>
    <row r="238" spans="1:4">
      <c r="A238" s="5" t="s">
        <v>510</v>
      </c>
      <c r="B238" s="5">
        <v>18.1</v>
      </c>
      <c r="C238" s="5">
        <v>0.685</v>
      </c>
      <c r="D238" s="6" t="s">
        <v>137</v>
      </c>
    </row>
    <row r="239" spans="1:4">
      <c r="A239" s="5" t="s">
        <v>511</v>
      </c>
      <c r="B239" s="5">
        <v>22.2</v>
      </c>
      <c r="C239" s="5">
        <v>0.691</v>
      </c>
      <c r="D239" s="6" t="s">
        <v>137</v>
      </c>
    </row>
    <row r="240" spans="1:4">
      <c r="A240" s="5" t="s">
        <v>512</v>
      </c>
      <c r="B240" s="5">
        <v>18.2</v>
      </c>
      <c r="C240" s="5">
        <v>0.764</v>
      </c>
      <c r="D240" s="6" t="s">
        <v>137</v>
      </c>
    </row>
    <row r="241" spans="1:4">
      <c r="A241" s="5" t="s">
        <v>513</v>
      </c>
      <c r="B241" s="5">
        <v>22.3</v>
      </c>
      <c r="C241" s="5">
        <v>0.911</v>
      </c>
      <c r="D241" s="6" t="s">
        <v>137</v>
      </c>
    </row>
    <row r="242" spans="1:4">
      <c r="A242" s="5" t="s">
        <v>514</v>
      </c>
      <c r="B242" s="5">
        <v>25.4</v>
      </c>
      <c r="C242" s="5">
        <v>0.915</v>
      </c>
      <c r="D242" s="6" t="s">
        <v>137</v>
      </c>
    </row>
    <row r="243" spans="1:4">
      <c r="A243" s="5" t="s">
        <v>515</v>
      </c>
      <c r="B243" s="5">
        <v>29.8</v>
      </c>
      <c r="C243" s="5">
        <v>0.923</v>
      </c>
      <c r="D243" s="6" t="s">
        <v>137</v>
      </c>
    </row>
    <row r="244" spans="1:4">
      <c r="A244" s="5" t="s">
        <v>516</v>
      </c>
      <c r="B244" s="5">
        <v>25.7</v>
      </c>
      <c r="C244" s="5">
        <v>0.961</v>
      </c>
      <c r="D244" s="6" t="s">
        <v>137</v>
      </c>
    </row>
    <row r="245" spans="1:4">
      <c r="A245" s="5" t="s">
        <v>517</v>
      </c>
      <c r="B245" s="5">
        <v>25.7</v>
      </c>
      <c r="C245" s="5">
        <v>0.961</v>
      </c>
      <c r="D245" s="6" t="s">
        <v>137</v>
      </c>
    </row>
    <row r="246" spans="1:4">
      <c r="A246" s="5" t="s">
        <v>518</v>
      </c>
      <c r="B246" s="5">
        <v>31.4</v>
      </c>
      <c r="C246" s="5">
        <v>1.06</v>
      </c>
      <c r="D246" s="6" t="s">
        <v>137</v>
      </c>
    </row>
    <row r="247" spans="1:4">
      <c r="A247" s="5" t="s">
        <v>263</v>
      </c>
      <c r="B247" s="5">
        <v>37.3</v>
      </c>
      <c r="C247" s="5">
        <v>1.07</v>
      </c>
      <c r="D247" s="6" t="s">
        <v>137</v>
      </c>
    </row>
    <row r="248" spans="1:4">
      <c r="A248" s="5" t="s">
        <v>519</v>
      </c>
      <c r="B248" s="5">
        <v>32</v>
      </c>
      <c r="C248" s="5">
        <v>1.16</v>
      </c>
      <c r="D248" s="6" t="s">
        <v>137</v>
      </c>
    </row>
    <row r="249" spans="1:4">
      <c r="A249" s="5" t="s">
        <v>520</v>
      </c>
      <c r="B249" s="5">
        <v>40.4</v>
      </c>
      <c r="C249" s="5">
        <v>1.24</v>
      </c>
      <c r="D249" s="6" t="s">
        <v>137</v>
      </c>
    </row>
    <row r="250" spans="1:4">
      <c r="A250" s="5" t="s">
        <v>521</v>
      </c>
      <c r="B250" s="5">
        <v>46.2</v>
      </c>
      <c r="C250" s="5">
        <v>1.25</v>
      </c>
      <c r="D250" s="6" t="s">
        <v>137</v>
      </c>
    </row>
    <row r="251" spans="1:4">
      <c r="A251" s="5" t="s">
        <v>522</v>
      </c>
      <c r="B251" s="5">
        <v>44.7</v>
      </c>
      <c r="C251" s="5">
        <v>1.36</v>
      </c>
      <c r="D251" s="6" t="s">
        <v>137</v>
      </c>
    </row>
    <row r="252" spans="1:4">
      <c r="A252" s="5" t="s">
        <v>523</v>
      </c>
      <c r="B252" s="5">
        <v>50.7</v>
      </c>
      <c r="C252" s="5">
        <v>1.36</v>
      </c>
      <c r="D252" s="6" t="s">
        <v>137</v>
      </c>
    </row>
    <row r="253" spans="1:4">
      <c r="A253" s="5" t="s">
        <v>524</v>
      </c>
      <c r="B253" s="5">
        <v>56.7</v>
      </c>
      <c r="C253" s="5">
        <v>1.37</v>
      </c>
      <c r="D253" s="6" t="s">
        <v>137</v>
      </c>
    </row>
    <row r="254" spans="1:4">
      <c r="A254" s="5" t="s">
        <v>525</v>
      </c>
      <c r="B254" s="5">
        <v>53.7</v>
      </c>
      <c r="C254" s="5">
        <v>1.48</v>
      </c>
      <c r="D254" s="6" t="s">
        <v>137</v>
      </c>
    </row>
    <row r="255" spans="1:4">
      <c r="A255" s="5" t="s">
        <v>526</v>
      </c>
      <c r="B255" s="5">
        <v>59.7</v>
      </c>
      <c r="C255" s="5">
        <v>1.49</v>
      </c>
      <c r="D255" s="6" t="s">
        <v>137</v>
      </c>
    </row>
    <row r="256" spans="1:4">
      <c r="A256" s="5" t="s">
        <v>527</v>
      </c>
      <c r="B256" s="5">
        <v>67.1</v>
      </c>
      <c r="C256" s="5">
        <v>1.63</v>
      </c>
      <c r="D256" s="6" t="s">
        <v>137</v>
      </c>
    </row>
    <row r="257" spans="1:4">
      <c r="A257" s="5" t="s">
        <v>528</v>
      </c>
      <c r="B257" s="5">
        <v>74.6</v>
      </c>
      <c r="C257" s="5">
        <v>1.64</v>
      </c>
      <c r="D257" s="6" t="s">
        <v>137</v>
      </c>
    </row>
    <row r="258" spans="1:4">
      <c r="A258" s="5" t="s">
        <v>529</v>
      </c>
      <c r="B258" s="5">
        <v>82.1</v>
      </c>
      <c r="C258" s="5">
        <v>1.65</v>
      </c>
      <c r="D258" s="6" t="s">
        <v>137</v>
      </c>
    </row>
    <row r="259" spans="1:4">
      <c r="A259" s="5" t="s">
        <v>530</v>
      </c>
      <c r="B259" s="5">
        <v>82</v>
      </c>
      <c r="C259" s="5">
        <v>1.85</v>
      </c>
      <c r="D259" s="6" t="s">
        <v>137</v>
      </c>
    </row>
    <row r="260" spans="1:4">
      <c r="A260" s="5" t="s">
        <v>531</v>
      </c>
      <c r="B260" s="5">
        <v>92.4</v>
      </c>
      <c r="C260" s="5">
        <v>1.86</v>
      </c>
      <c r="D260" s="6" t="s">
        <v>137</v>
      </c>
    </row>
    <row r="261" spans="1:4">
      <c r="A261" s="5" t="s">
        <v>532</v>
      </c>
      <c r="B261" s="5">
        <v>101</v>
      </c>
      <c r="C261" s="5">
        <v>2.07</v>
      </c>
      <c r="D261" s="6" t="s">
        <v>137</v>
      </c>
    </row>
    <row r="262" spans="1:4">
      <c r="A262" s="5" t="s">
        <v>533</v>
      </c>
      <c r="B262" s="5">
        <v>113</v>
      </c>
      <c r="C262" s="5">
        <v>2.08</v>
      </c>
      <c r="D262" s="6" t="s">
        <v>137</v>
      </c>
    </row>
    <row r="263" spans="1:4">
      <c r="A263" s="5" t="s">
        <v>534</v>
      </c>
      <c r="B263" s="5">
        <v>125</v>
      </c>
      <c r="C263" s="5">
        <v>2.09</v>
      </c>
      <c r="D263" s="6" t="s">
        <v>137</v>
      </c>
    </row>
    <row r="264" spans="1:4">
      <c r="A264" s="5" t="s">
        <v>333</v>
      </c>
      <c r="B264" s="5">
        <v>14.8</v>
      </c>
      <c r="C264" s="5">
        <v>0.563</v>
      </c>
      <c r="D264" s="6" t="s">
        <v>137</v>
      </c>
    </row>
    <row r="265" spans="1:4">
      <c r="A265" s="5" t="s">
        <v>535</v>
      </c>
      <c r="B265" s="5">
        <v>23.4</v>
      </c>
      <c r="C265" s="5">
        <v>0.889</v>
      </c>
      <c r="D265" s="6" t="s">
        <v>137</v>
      </c>
    </row>
    <row r="266" spans="1:4">
      <c r="A266" s="5" t="s">
        <v>536</v>
      </c>
      <c r="B266" s="5">
        <v>30</v>
      </c>
      <c r="C266" s="5">
        <v>0.9</v>
      </c>
      <c r="D266" s="6" t="s">
        <v>137</v>
      </c>
    </row>
    <row r="267" spans="1:4">
      <c r="A267" s="5" t="s">
        <v>537</v>
      </c>
      <c r="B267" s="5">
        <v>37.2</v>
      </c>
      <c r="C267" s="5">
        <v>0.912</v>
      </c>
      <c r="D267" s="6" t="s">
        <v>137</v>
      </c>
    </row>
    <row r="268" spans="1:4">
      <c r="A268" s="5" t="s">
        <v>538</v>
      </c>
      <c r="B268" s="5">
        <v>46.2</v>
      </c>
      <c r="C268" s="5">
        <v>1.19</v>
      </c>
      <c r="D268" s="6" t="s">
        <v>137</v>
      </c>
    </row>
    <row r="269" spans="1:4">
      <c r="A269" s="5" t="s">
        <v>539</v>
      </c>
      <c r="B269" s="5">
        <v>52.2</v>
      </c>
      <c r="C269" s="5">
        <v>1.19</v>
      </c>
      <c r="D269" s="6" t="s">
        <v>137</v>
      </c>
    </row>
    <row r="270" spans="1:4">
      <c r="A270" s="5" t="s">
        <v>540</v>
      </c>
      <c r="B270" s="5">
        <v>59.5</v>
      </c>
      <c r="C270" s="5">
        <v>1.2</v>
      </c>
      <c r="D270" s="6" t="s">
        <v>137</v>
      </c>
    </row>
    <row r="271" spans="1:4">
      <c r="A271" s="5" t="s">
        <v>541</v>
      </c>
      <c r="B271" s="5">
        <v>72.9</v>
      </c>
      <c r="C271" s="5">
        <v>1.48</v>
      </c>
      <c r="D271" s="6" t="s">
        <v>137</v>
      </c>
    </row>
    <row r="272" spans="1:4">
      <c r="A272" s="5" t="s">
        <v>542</v>
      </c>
      <c r="B272" s="5">
        <v>89.5</v>
      </c>
      <c r="C272" s="5">
        <v>1.5</v>
      </c>
      <c r="D272" s="6" t="s">
        <v>137</v>
      </c>
    </row>
    <row r="273" spans="1:4">
      <c r="A273" s="5" t="s">
        <v>349</v>
      </c>
      <c r="B273" s="5">
        <v>96.8</v>
      </c>
      <c r="C273" s="5">
        <v>1.79</v>
      </c>
      <c r="D273" s="6" t="s">
        <v>137</v>
      </c>
    </row>
    <row r="274" spans="1:4">
      <c r="A274" s="5" t="s">
        <v>543</v>
      </c>
      <c r="B274" s="5">
        <v>96.8</v>
      </c>
      <c r="C274" s="5">
        <v>1.79</v>
      </c>
      <c r="D274" s="6" t="s">
        <v>137</v>
      </c>
    </row>
    <row r="275" spans="1:4">
      <c r="A275" s="5" t="s">
        <v>544</v>
      </c>
      <c r="B275" s="5">
        <v>118</v>
      </c>
      <c r="C275" s="5">
        <v>1.81</v>
      </c>
      <c r="D275" s="6" t="s">
        <v>137</v>
      </c>
    </row>
    <row r="276" spans="1:4">
      <c r="A276" s="5" t="s">
        <v>545</v>
      </c>
      <c r="B276" s="5">
        <v>137</v>
      </c>
      <c r="C276" s="5">
        <v>1.82</v>
      </c>
      <c r="D276" s="6" t="s">
        <v>137</v>
      </c>
    </row>
    <row r="277" spans="1:4">
      <c r="A277" s="5" t="s">
        <v>546</v>
      </c>
      <c r="B277" s="5">
        <v>158</v>
      </c>
      <c r="C277" s="5">
        <v>1.84</v>
      </c>
      <c r="D277" s="6" t="s">
        <v>137</v>
      </c>
    </row>
    <row r="278" spans="1:4">
      <c r="A278" s="5" t="s">
        <v>355</v>
      </c>
      <c r="B278" s="5">
        <v>197</v>
      </c>
      <c r="C278" s="5">
        <v>2.02</v>
      </c>
      <c r="D278" s="6" t="s">
        <v>141</v>
      </c>
    </row>
    <row r="279" spans="1:4">
      <c r="A279" s="5" t="s">
        <v>356</v>
      </c>
      <c r="B279" s="5">
        <v>230</v>
      </c>
      <c r="C279" s="5">
        <v>2.03</v>
      </c>
      <c r="D279" s="6" t="s">
        <v>141</v>
      </c>
    </row>
    <row r="280" spans="1:4">
      <c r="A280" s="5" t="s">
        <v>357</v>
      </c>
      <c r="B280" s="5">
        <v>258</v>
      </c>
      <c r="C280" s="5">
        <v>2.04</v>
      </c>
      <c r="D280" s="6" t="s">
        <v>141</v>
      </c>
    </row>
    <row r="281" spans="1:4">
      <c r="A281" s="5" t="s">
        <v>358</v>
      </c>
      <c r="B281" s="5">
        <v>280</v>
      </c>
      <c r="C281" s="5">
        <v>2.05</v>
      </c>
      <c r="D281" s="6" t="s">
        <v>141</v>
      </c>
    </row>
    <row r="282" spans="1:4">
      <c r="A282" s="5" t="s">
        <v>359</v>
      </c>
      <c r="B282" s="5">
        <v>144</v>
      </c>
      <c r="C282" s="5">
        <v>2.33</v>
      </c>
      <c r="D282" s="6" t="s">
        <v>141</v>
      </c>
    </row>
    <row r="283" spans="1:4">
      <c r="A283" s="5" t="s">
        <v>360</v>
      </c>
      <c r="B283" s="5">
        <v>181</v>
      </c>
      <c r="C283" s="5">
        <v>2.34</v>
      </c>
      <c r="D283" s="6" t="s">
        <v>141</v>
      </c>
    </row>
    <row r="284" spans="1:4">
      <c r="A284" s="5" t="s">
        <v>361</v>
      </c>
      <c r="B284" s="5">
        <v>212</v>
      </c>
      <c r="C284" s="5">
        <v>2.36</v>
      </c>
      <c r="D284" s="6" t="s">
        <v>141</v>
      </c>
    </row>
    <row r="285" spans="1:4">
      <c r="A285" s="5" t="s">
        <v>362</v>
      </c>
      <c r="B285" s="5">
        <v>270</v>
      </c>
      <c r="C285" s="5">
        <v>2.38</v>
      </c>
      <c r="D285" s="6" t="s">
        <v>141</v>
      </c>
    </row>
    <row r="286" spans="1:4">
      <c r="A286" s="5" t="s">
        <v>363</v>
      </c>
      <c r="B286" s="5">
        <v>303</v>
      </c>
      <c r="C286" s="5">
        <v>2.39</v>
      </c>
      <c r="D286" s="6" t="s">
        <v>141</v>
      </c>
    </row>
    <row r="287" spans="1:4">
      <c r="A287" s="5" t="s">
        <v>364</v>
      </c>
      <c r="B287" s="5">
        <v>361</v>
      </c>
      <c r="C287" s="5">
        <v>2.38</v>
      </c>
      <c r="D287" s="6" t="s">
        <v>141</v>
      </c>
    </row>
    <row r="288" spans="1:4">
      <c r="A288" s="5" t="s">
        <v>365</v>
      </c>
      <c r="B288" s="5">
        <v>328</v>
      </c>
      <c r="C288" s="5">
        <v>2.4</v>
      </c>
      <c r="D288" s="6" t="s">
        <v>141</v>
      </c>
    </row>
    <row r="289" spans="1:4">
      <c r="A289" s="5" t="s">
        <v>366</v>
      </c>
      <c r="B289" s="5">
        <v>383</v>
      </c>
      <c r="C289" s="5">
        <v>2.88</v>
      </c>
      <c r="D289" s="6" t="s">
        <v>141</v>
      </c>
    </row>
    <row r="290" spans="1:4">
      <c r="A290" s="5" t="s">
        <v>367</v>
      </c>
      <c r="B290" s="5">
        <v>440</v>
      </c>
      <c r="C290" s="5">
        <v>2.88</v>
      </c>
      <c r="D290" s="6" t="s">
        <v>141</v>
      </c>
    </row>
    <row r="291" spans="1:4">
      <c r="A291" s="5" t="s">
        <v>368</v>
      </c>
      <c r="B291" s="5">
        <v>414</v>
      </c>
      <c r="C291" s="5">
        <v>2.9</v>
      </c>
      <c r="D291" s="6" t="s">
        <v>141</v>
      </c>
    </row>
    <row r="292" spans="1:4">
      <c r="A292" s="5" t="s">
        <v>369</v>
      </c>
      <c r="B292" s="5">
        <v>228</v>
      </c>
      <c r="C292" s="5">
        <v>2.94</v>
      </c>
      <c r="D292" s="6" t="s">
        <v>141</v>
      </c>
    </row>
    <row r="293" spans="1:4">
      <c r="A293" s="5" t="s">
        <v>370</v>
      </c>
      <c r="B293" s="5">
        <v>267</v>
      </c>
      <c r="C293" s="5">
        <v>2.96</v>
      </c>
      <c r="D293" s="6" t="s">
        <v>141</v>
      </c>
    </row>
    <row r="294" spans="1:4">
      <c r="A294" s="5" t="s">
        <v>371</v>
      </c>
      <c r="B294" s="5">
        <v>290</v>
      </c>
      <c r="C294" s="5">
        <v>2.97</v>
      </c>
      <c r="D294" s="6" t="s">
        <v>141</v>
      </c>
    </row>
    <row r="295" spans="1:4">
      <c r="A295" s="5" t="s">
        <v>372</v>
      </c>
      <c r="B295" s="5">
        <v>340</v>
      </c>
      <c r="C295" s="5">
        <v>2.98</v>
      </c>
      <c r="D295" s="6" t="s">
        <v>141</v>
      </c>
    </row>
    <row r="296" spans="1:4">
      <c r="A296" s="5" t="s">
        <v>373</v>
      </c>
      <c r="B296" s="5">
        <v>115</v>
      </c>
      <c r="C296" s="5">
        <v>2.36</v>
      </c>
      <c r="D296" s="6" t="s">
        <v>141</v>
      </c>
    </row>
    <row r="297" spans="1:4">
      <c r="A297" s="5" t="s">
        <v>374</v>
      </c>
      <c r="B297" s="5">
        <v>130</v>
      </c>
      <c r="C297" s="5">
        <v>2.38</v>
      </c>
      <c r="D297" s="6" t="s">
        <v>141</v>
      </c>
    </row>
    <row r="298" spans="1:4">
      <c r="A298" s="5" t="s">
        <v>375</v>
      </c>
      <c r="B298" s="5">
        <v>150</v>
      </c>
      <c r="C298" s="5">
        <v>2.4</v>
      </c>
      <c r="D298" s="6" t="s">
        <v>141</v>
      </c>
    </row>
    <row r="299" spans="1:4">
      <c r="A299" s="5" t="s">
        <v>376</v>
      </c>
      <c r="B299" s="5">
        <v>173</v>
      </c>
      <c r="C299" s="5">
        <v>2.51</v>
      </c>
      <c r="D299" s="6" t="s">
        <v>141</v>
      </c>
    </row>
    <row r="300" spans="1:4">
      <c r="A300" s="5" t="s">
        <v>377</v>
      </c>
      <c r="B300" s="5">
        <v>122</v>
      </c>
      <c r="C300" s="5">
        <v>2.56</v>
      </c>
      <c r="D300" s="6" t="s">
        <v>141</v>
      </c>
    </row>
    <row r="301" spans="1:4">
      <c r="A301" s="5" t="s">
        <v>378</v>
      </c>
      <c r="B301" s="5">
        <v>146</v>
      </c>
      <c r="C301" s="5">
        <v>2.68</v>
      </c>
      <c r="D301" s="6" t="s">
        <v>141</v>
      </c>
    </row>
    <row r="302" spans="1:4">
      <c r="A302" s="5" t="s">
        <v>379</v>
      </c>
      <c r="B302" s="5">
        <v>168</v>
      </c>
      <c r="C302" s="5">
        <v>2.7</v>
      </c>
      <c r="D302" s="6" t="s">
        <v>141</v>
      </c>
    </row>
    <row r="303" spans="1:4">
      <c r="A303" s="5" t="s">
        <v>380</v>
      </c>
      <c r="B303" s="5">
        <v>192</v>
      </c>
      <c r="C303" s="5">
        <v>2.81</v>
      </c>
      <c r="D303" s="6" t="s">
        <v>141</v>
      </c>
    </row>
    <row r="304" spans="1:4">
      <c r="A304" s="5" t="s">
        <v>381</v>
      </c>
      <c r="B304" s="5">
        <v>175</v>
      </c>
      <c r="C304" s="5">
        <v>2.98</v>
      </c>
      <c r="D304" s="6" t="s">
        <v>141</v>
      </c>
    </row>
    <row r="305" spans="1:4">
      <c r="A305" s="5" t="s">
        <v>382</v>
      </c>
      <c r="B305" s="5">
        <v>218</v>
      </c>
      <c r="C305" s="5">
        <v>3.2</v>
      </c>
      <c r="D305" s="6" t="s">
        <v>141</v>
      </c>
    </row>
    <row r="306" spans="1:4">
      <c r="A306" s="5" t="s">
        <v>383</v>
      </c>
      <c r="B306" s="5">
        <v>257</v>
      </c>
      <c r="C306" s="5">
        <v>3.41</v>
      </c>
      <c r="D306" s="6" t="s">
        <v>141</v>
      </c>
    </row>
    <row r="307" spans="1:4">
      <c r="A307" s="5" t="s">
        <v>384</v>
      </c>
      <c r="B307" s="5">
        <v>282</v>
      </c>
      <c r="C307" s="5">
        <v>3.42</v>
      </c>
      <c r="D307" s="6" t="s">
        <v>141</v>
      </c>
    </row>
    <row r="308" spans="1:4">
      <c r="A308" s="5" t="s">
        <v>385</v>
      </c>
      <c r="B308" s="5">
        <v>215</v>
      </c>
      <c r="C308" s="5">
        <v>3.17</v>
      </c>
      <c r="D308" s="6" t="s">
        <v>141</v>
      </c>
    </row>
    <row r="309" spans="1:4">
      <c r="A309" s="5" t="s">
        <v>386</v>
      </c>
      <c r="B309" s="5">
        <v>258</v>
      </c>
      <c r="C309" s="5">
        <v>3.39</v>
      </c>
      <c r="D309" s="6" t="s">
        <v>141</v>
      </c>
    </row>
    <row r="310" spans="1:4">
      <c r="A310" s="5" t="s">
        <v>387</v>
      </c>
      <c r="B310" s="5">
        <v>296</v>
      </c>
      <c r="C310" s="5">
        <v>3.6</v>
      </c>
      <c r="D310" s="6" t="s">
        <v>141</v>
      </c>
    </row>
    <row r="311" spans="1:4">
      <c r="A311" s="5" t="s">
        <v>388</v>
      </c>
      <c r="B311" s="5">
        <v>322</v>
      </c>
      <c r="C311" s="5">
        <v>3.62</v>
      </c>
      <c r="D311" s="6" t="s">
        <v>141</v>
      </c>
    </row>
    <row r="312" spans="1:4">
      <c r="A312" s="5" t="s">
        <v>389</v>
      </c>
      <c r="B312" s="5">
        <v>278</v>
      </c>
      <c r="C312" s="5">
        <v>3.71</v>
      </c>
      <c r="D312" s="6" t="s">
        <v>141</v>
      </c>
    </row>
    <row r="313" spans="1:4">
      <c r="A313" s="5" t="s">
        <v>390</v>
      </c>
      <c r="B313" s="5">
        <v>249</v>
      </c>
      <c r="C313" s="5">
        <v>3.41</v>
      </c>
      <c r="D313" s="6" t="s">
        <v>141</v>
      </c>
    </row>
    <row r="314" spans="1:4">
      <c r="A314" s="5" t="s">
        <v>391</v>
      </c>
      <c r="B314" s="5">
        <v>317</v>
      </c>
      <c r="C314" s="5">
        <v>3.92</v>
      </c>
      <c r="D314" s="6" t="s">
        <v>141</v>
      </c>
    </row>
    <row r="315" spans="1:4">
      <c r="A315" s="5" t="s">
        <v>392</v>
      </c>
      <c r="B315" s="5">
        <v>392</v>
      </c>
      <c r="C315" s="5">
        <v>4.34</v>
      </c>
      <c r="D315" s="6" t="s">
        <v>141</v>
      </c>
    </row>
    <row r="316" spans="1:4">
      <c r="A316" s="5" t="s">
        <v>393</v>
      </c>
      <c r="B316" s="5">
        <v>342</v>
      </c>
      <c r="C316" s="5">
        <v>3.94</v>
      </c>
      <c r="D316" s="6" t="s">
        <v>141</v>
      </c>
    </row>
    <row r="317" spans="1:4">
      <c r="A317" s="5" t="s">
        <v>394</v>
      </c>
      <c r="B317" s="5">
        <v>423</v>
      </c>
      <c r="C317" s="5">
        <v>4.35</v>
      </c>
      <c r="D317" s="6" t="s">
        <v>141</v>
      </c>
    </row>
    <row r="318" spans="1:4">
      <c r="A318" s="5" t="s">
        <v>395</v>
      </c>
      <c r="B318" s="5">
        <v>455</v>
      </c>
      <c r="C318" s="5">
        <v>4.37</v>
      </c>
      <c r="D318" s="6" t="s">
        <v>141</v>
      </c>
    </row>
    <row r="319" spans="1:4">
      <c r="A319" s="5" t="s">
        <v>396</v>
      </c>
      <c r="B319" s="5">
        <v>0.873</v>
      </c>
      <c r="C319" s="5">
        <v>0.0745</v>
      </c>
      <c r="D319" s="6" t="s">
        <v>138</v>
      </c>
    </row>
    <row r="320" spans="1:4">
      <c r="A320" s="5" t="s">
        <v>397</v>
      </c>
      <c r="B320" s="5">
        <v>1.12</v>
      </c>
      <c r="C320" s="5">
        <v>0.0945</v>
      </c>
      <c r="D320" s="6" t="s">
        <v>138</v>
      </c>
    </row>
    <row r="321" spans="1:4">
      <c r="A321" s="5" t="s">
        <v>398</v>
      </c>
      <c r="B321" s="5">
        <v>1.36</v>
      </c>
      <c r="C321" s="5">
        <v>0.0931</v>
      </c>
      <c r="D321" s="6" t="s">
        <v>138</v>
      </c>
    </row>
    <row r="322" spans="1:4">
      <c r="A322" s="5" t="s">
        <v>399</v>
      </c>
      <c r="B322" s="5">
        <v>1.64</v>
      </c>
      <c r="C322" s="5">
        <v>0.0914</v>
      </c>
      <c r="D322" s="6" t="s">
        <v>138</v>
      </c>
    </row>
    <row r="323" spans="1:4">
      <c r="A323" s="5" t="s">
        <v>400</v>
      </c>
      <c r="B323" s="5">
        <v>1.89</v>
      </c>
      <c r="C323" s="5">
        <v>0.0897</v>
      </c>
      <c r="D323" s="6" t="s">
        <v>138</v>
      </c>
    </row>
    <row r="324" spans="1:4">
      <c r="A324" s="5" t="s">
        <v>401</v>
      </c>
      <c r="B324" s="5">
        <v>1.38</v>
      </c>
      <c r="C324" s="5">
        <v>0.115</v>
      </c>
      <c r="D324" s="6" t="s">
        <v>138</v>
      </c>
    </row>
    <row r="325" spans="1:4">
      <c r="A325" s="5" t="s">
        <v>402</v>
      </c>
      <c r="B325" s="5">
        <v>1.68</v>
      </c>
      <c r="C325" s="5">
        <v>0.113</v>
      </c>
      <c r="D325" s="6" t="s">
        <v>138</v>
      </c>
    </row>
    <row r="326" spans="1:4">
      <c r="A326" s="5" t="s">
        <v>403</v>
      </c>
      <c r="B326" s="5">
        <v>2.03</v>
      </c>
      <c r="C326" s="5">
        <v>0.111</v>
      </c>
      <c r="D326" s="6" t="s">
        <v>138</v>
      </c>
    </row>
    <row r="327" spans="1:4">
      <c r="A327" s="5" t="s">
        <v>404</v>
      </c>
      <c r="B327" s="5">
        <v>2.36</v>
      </c>
      <c r="C327" s="5">
        <v>0.11</v>
      </c>
      <c r="D327" s="6" t="s">
        <v>138</v>
      </c>
    </row>
    <row r="328" spans="1:4">
      <c r="A328" s="5" t="s">
        <v>405</v>
      </c>
      <c r="B328" s="5">
        <v>1.63</v>
      </c>
      <c r="C328" s="5">
        <v>0.135</v>
      </c>
      <c r="D328" s="6" t="s">
        <v>138</v>
      </c>
    </row>
    <row r="329" spans="1:4">
      <c r="A329" s="5" t="s">
        <v>406</v>
      </c>
      <c r="B329" s="5">
        <v>1.99</v>
      </c>
      <c r="C329" s="5">
        <v>0.133</v>
      </c>
      <c r="D329" s="6" t="s">
        <v>138</v>
      </c>
    </row>
    <row r="330" spans="1:4">
      <c r="A330" s="5" t="s">
        <v>407</v>
      </c>
      <c r="B330" s="5">
        <v>2.42</v>
      </c>
      <c r="C330" s="5">
        <v>0.131</v>
      </c>
      <c r="D330" s="6" t="s">
        <v>138</v>
      </c>
    </row>
    <row r="331" spans="1:4">
      <c r="A331" s="5" t="s">
        <v>408</v>
      </c>
      <c r="B331" s="5">
        <v>2.83</v>
      </c>
      <c r="C331" s="5">
        <v>0.13</v>
      </c>
      <c r="D331" s="6" t="s">
        <v>138</v>
      </c>
    </row>
    <row r="332" spans="1:4">
      <c r="A332" s="5" t="s">
        <v>409</v>
      </c>
      <c r="B332" s="5">
        <v>1.88</v>
      </c>
      <c r="C332" s="5">
        <v>0.155</v>
      </c>
      <c r="D332" s="6" t="s">
        <v>138</v>
      </c>
    </row>
    <row r="333" spans="1:4">
      <c r="A333" s="5" t="s">
        <v>410</v>
      </c>
      <c r="B333" s="5">
        <v>2.31</v>
      </c>
      <c r="C333" s="5">
        <v>0.153</v>
      </c>
      <c r="D333" s="6" t="s">
        <v>138</v>
      </c>
    </row>
    <row r="334" spans="1:4">
      <c r="A334" s="5" t="s">
        <v>411</v>
      </c>
      <c r="B334" s="5">
        <v>2.82</v>
      </c>
      <c r="C334" s="5">
        <v>0.151</v>
      </c>
      <c r="D334" s="6" t="s">
        <v>138</v>
      </c>
    </row>
    <row r="335" spans="1:4">
      <c r="A335" s="5" t="s">
        <v>412</v>
      </c>
      <c r="B335" s="5">
        <v>3.3</v>
      </c>
      <c r="C335" s="5">
        <v>0.15</v>
      </c>
      <c r="D335" s="6" t="s">
        <v>138</v>
      </c>
    </row>
    <row r="336" spans="1:4">
      <c r="A336" s="5" t="s">
        <v>413</v>
      </c>
      <c r="B336" s="5">
        <v>4.09</v>
      </c>
      <c r="C336" s="5">
        <v>0.143</v>
      </c>
      <c r="D336" s="6" t="s">
        <v>138</v>
      </c>
    </row>
    <row r="337" spans="1:4">
      <c r="A337" s="5" t="s">
        <v>414</v>
      </c>
      <c r="B337" s="5">
        <v>2.38</v>
      </c>
      <c r="C337" s="5">
        <v>0.195</v>
      </c>
      <c r="D337" s="6" t="s">
        <v>138</v>
      </c>
    </row>
    <row r="338" spans="1:4">
      <c r="A338" s="5" t="s">
        <v>415</v>
      </c>
      <c r="B338" s="5">
        <v>2.93</v>
      </c>
      <c r="C338" s="5">
        <v>0.193</v>
      </c>
      <c r="D338" s="6" t="s">
        <v>138</v>
      </c>
    </row>
    <row r="339" spans="1:4">
      <c r="A339" s="5" t="s">
        <v>416</v>
      </c>
      <c r="B339" s="5">
        <v>3.6</v>
      </c>
      <c r="C339" s="5">
        <v>0.191</v>
      </c>
      <c r="D339" s="6" t="s">
        <v>139</v>
      </c>
    </row>
    <row r="340" spans="1:4">
      <c r="A340" s="5" t="s">
        <v>547</v>
      </c>
      <c r="B340" s="5">
        <v>4.25</v>
      </c>
      <c r="C340" s="5">
        <v>0.19</v>
      </c>
      <c r="D340" s="6" t="s">
        <v>138</v>
      </c>
    </row>
    <row r="341" spans="1:4">
      <c r="A341" s="5" t="s">
        <v>548</v>
      </c>
      <c r="B341" s="5">
        <v>5.35</v>
      </c>
      <c r="C341" s="5">
        <v>0.183</v>
      </c>
      <c r="D341" s="6" t="s">
        <v>138</v>
      </c>
    </row>
    <row r="342" spans="1:4">
      <c r="A342" s="5" t="s">
        <v>549</v>
      </c>
      <c r="B342" s="5">
        <v>6.39</v>
      </c>
      <c r="C342" s="5">
        <v>0.179</v>
      </c>
      <c r="D342" s="6" t="s">
        <v>138</v>
      </c>
    </row>
    <row r="343" spans="1:4">
      <c r="A343" s="5" t="s">
        <v>420</v>
      </c>
      <c r="B343" s="5">
        <v>3.13</v>
      </c>
      <c r="C343" s="5">
        <v>0.255</v>
      </c>
      <c r="D343" s="6" t="s">
        <v>138</v>
      </c>
    </row>
    <row r="344" spans="1:4">
      <c r="A344" s="5" t="s">
        <v>421</v>
      </c>
      <c r="B344" s="5">
        <v>3.88</v>
      </c>
      <c r="C344" s="5">
        <v>0.253</v>
      </c>
      <c r="D344" s="6" t="s">
        <v>138</v>
      </c>
    </row>
    <row r="345" spans="1:4">
      <c r="A345" s="5" t="s">
        <v>422</v>
      </c>
      <c r="B345" s="5">
        <v>4.78</v>
      </c>
      <c r="C345" s="5">
        <v>0.251</v>
      </c>
      <c r="D345" s="6" t="s">
        <v>138</v>
      </c>
    </row>
    <row r="346" spans="1:4">
      <c r="A346" s="5" t="s">
        <v>550</v>
      </c>
      <c r="B346" s="5">
        <v>5.66</v>
      </c>
      <c r="C346" s="5">
        <v>0.25</v>
      </c>
      <c r="D346" s="6" t="s">
        <v>138</v>
      </c>
    </row>
    <row r="347" spans="1:4">
      <c r="A347" s="5" t="s">
        <v>551</v>
      </c>
      <c r="B347" s="5">
        <v>7.23</v>
      </c>
      <c r="C347" s="5">
        <v>0.243</v>
      </c>
      <c r="D347" s="6" t="s">
        <v>138</v>
      </c>
    </row>
    <row r="348" spans="1:4">
      <c r="A348" s="5" t="s">
        <v>552</v>
      </c>
      <c r="B348" s="5">
        <v>8.75</v>
      </c>
      <c r="C348" s="5">
        <v>0.239</v>
      </c>
      <c r="D348" s="6" t="s">
        <v>138</v>
      </c>
    </row>
    <row r="349" spans="1:4">
      <c r="A349" s="5" t="s">
        <v>426</v>
      </c>
      <c r="B349" s="5">
        <v>10.1</v>
      </c>
      <c r="C349" s="5">
        <v>0.234</v>
      </c>
      <c r="D349" s="6" t="s">
        <v>138</v>
      </c>
    </row>
    <row r="350" spans="1:4">
      <c r="A350" s="5" t="s">
        <v>427</v>
      </c>
      <c r="B350" s="5">
        <v>4.5</v>
      </c>
      <c r="C350" s="5">
        <v>0.293</v>
      </c>
      <c r="D350" s="6" t="s">
        <v>138</v>
      </c>
    </row>
    <row r="351" spans="1:4">
      <c r="A351" s="5" t="s">
        <v>553</v>
      </c>
      <c r="B351" s="5">
        <v>5.56</v>
      </c>
      <c r="C351" s="5">
        <v>0.291</v>
      </c>
      <c r="D351" s="6" t="s">
        <v>138</v>
      </c>
    </row>
    <row r="352" spans="1:4">
      <c r="A352" s="5" t="s">
        <v>554</v>
      </c>
      <c r="B352" s="5">
        <v>6.6</v>
      </c>
      <c r="C352" s="5">
        <v>0.29</v>
      </c>
      <c r="D352" s="6" t="s">
        <v>138</v>
      </c>
    </row>
    <row r="353" spans="1:4">
      <c r="A353" s="5" t="s">
        <v>430</v>
      </c>
      <c r="B353" s="5">
        <v>7.53</v>
      </c>
      <c r="C353" s="5">
        <v>0.285</v>
      </c>
      <c r="D353" s="6" t="s">
        <v>138</v>
      </c>
    </row>
    <row r="354" spans="1:4">
      <c r="A354" s="5" t="s">
        <v>555</v>
      </c>
      <c r="B354" s="5">
        <v>8.49</v>
      </c>
      <c r="C354" s="5">
        <v>0.283</v>
      </c>
      <c r="D354" s="6" t="s">
        <v>138</v>
      </c>
    </row>
    <row r="355" spans="1:4">
      <c r="A355" s="5" t="s">
        <v>556</v>
      </c>
      <c r="B355" s="5">
        <v>10.3</v>
      </c>
      <c r="C355" s="5">
        <v>0.279</v>
      </c>
      <c r="D355" s="6" t="s">
        <v>138</v>
      </c>
    </row>
    <row r="356" spans="1:4">
      <c r="A356" s="5" t="s">
        <v>557</v>
      </c>
      <c r="B356" s="5">
        <v>12</v>
      </c>
      <c r="C356" s="5">
        <v>0.274</v>
      </c>
      <c r="D356" s="6" t="s">
        <v>138</v>
      </c>
    </row>
    <row r="357" spans="1:4">
      <c r="A357" s="5" t="s">
        <v>558</v>
      </c>
      <c r="B357" s="5">
        <v>9.06</v>
      </c>
      <c r="C357" s="5">
        <v>0.341</v>
      </c>
      <c r="D357" s="6" t="s">
        <v>138</v>
      </c>
    </row>
    <row r="358" spans="1:4">
      <c r="A358" s="5" t="s">
        <v>559</v>
      </c>
      <c r="B358" s="5">
        <v>12.5</v>
      </c>
      <c r="C358" s="5">
        <v>0.334</v>
      </c>
      <c r="D358" s="6" t="s">
        <v>138</v>
      </c>
    </row>
    <row r="359" spans="1:4">
      <c r="A359" s="5" t="s">
        <v>560</v>
      </c>
      <c r="B359" s="5">
        <v>14.6</v>
      </c>
      <c r="C359" s="5">
        <v>0.33</v>
      </c>
      <c r="D359" s="6" t="s">
        <v>138</v>
      </c>
    </row>
    <row r="360" spans="1:4">
      <c r="A360" s="5" t="s">
        <v>437</v>
      </c>
      <c r="B360" s="5">
        <v>6.07</v>
      </c>
      <c r="C360" s="5">
        <v>0.393</v>
      </c>
      <c r="D360" s="6" t="s">
        <v>138</v>
      </c>
    </row>
    <row r="361" spans="1:4">
      <c r="A361" s="5" t="s">
        <v>438</v>
      </c>
      <c r="B361" s="5">
        <v>7.53</v>
      </c>
      <c r="C361" s="5">
        <v>0.391</v>
      </c>
      <c r="D361" s="6" t="s">
        <v>138</v>
      </c>
    </row>
    <row r="362" spans="1:4">
      <c r="A362" s="5" t="s">
        <v>561</v>
      </c>
      <c r="B362" s="5">
        <v>8.96</v>
      </c>
      <c r="C362" s="5">
        <v>0.39</v>
      </c>
      <c r="D362" s="6" t="s">
        <v>138</v>
      </c>
    </row>
    <row r="363" spans="1:4">
      <c r="A363" s="5" t="s">
        <v>562</v>
      </c>
      <c r="B363" s="5">
        <v>11.6</v>
      </c>
      <c r="C363" s="5">
        <v>0.383</v>
      </c>
      <c r="D363" s="6" t="s">
        <v>138</v>
      </c>
    </row>
    <row r="364" spans="1:4">
      <c r="A364" s="5" t="s">
        <v>563</v>
      </c>
      <c r="B364" s="5">
        <v>14.2</v>
      </c>
      <c r="C364" s="5">
        <v>0.379</v>
      </c>
      <c r="D364" s="6" t="s">
        <v>138</v>
      </c>
    </row>
    <row r="365" spans="1:4">
      <c r="A365" s="5" t="s">
        <v>564</v>
      </c>
      <c r="B365" s="5">
        <v>16.7</v>
      </c>
      <c r="C365" s="5">
        <v>0.374</v>
      </c>
      <c r="D365" s="6" t="s">
        <v>138</v>
      </c>
    </row>
    <row r="366" spans="1:4">
      <c r="A366" s="5" t="s">
        <v>565</v>
      </c>
      <c r="B366" s="5">
        <v>23.5</v>
      </c>
      <c r="C366" s="5">
        <v>0.361</v>
      </c>
      <c r="D366" s="6" t="s">
        <v>140</v>
      </c>
    </row>
    <row r="367" spans="1:4">
      <c r="A367" s="5" t="s">
        <v>566</v>
      </c>
      <c r="B367" s="5">
        <v>14.8</v>
      </c>
      <c r="C367" s="5">
        <v>0.483</v>
      </c>
      <c r="D367" s="6" t="s">
        <v>138</v>
      </c>
    </row>
    <row r="368" spans="1:4">
      <c r="A368" s="5" t="s">
        <v>567</v>
      </c>
      <c r="B368" s="5">
        <v>18.2</v>
      </c>
      <c r="C368" s="5">
        <v>0.479</v>
      </c>
      <c r="D368" s="6" t="s">
        <v>138</v>
      </c>
    </row>
    <row r="369" spans="1:4">
      <c r="A369" s="5" t="s">
        <v>568</v>
      </c>
      <c r="B369" s="5">
        <v>21.4</v>
      </c>
      <c r="C369" s="5">
        <v>0.474</v>
      </c>
      <c r="D369" s="6" t="s">
        <v>138</v>
      </c>
    </row>
    <row r="370" spans="1:4">
      <c r="A370" s="5" t="s">
        <v>569</v>
      </c>
      <c r="B370" s="5">
        <v>30.6</v>
      </c>
      <c r="C370" s="5">
        <v>0.461</v>
      </c>
      <c r="D370" s="6" t="s">
        <v>140</v>
      </c>
    </row>
    <row r="371" spans="1:4">
      <c r="A371" s="5" t="s">
        <v>570</v>
      </c>
      <c r="B371" s="5">
        <v>13.7</v>
      </c>
      <c r="C371" s="5">
        <v>0.59</v>
      </c>
      <c r="D371" s="6" t="s">
        <v>138</v>
      </c>
    </row>
    <row r="372" spans="1:4">
      <c r="A372" s="5" t="s">
        <v>571</v>
      </c>
      <c r="B372" s="5">
        <v>17.9</v>
      </c>
      <c r="C372" s="5">
        <v>0.583</v>
      </c>
      <c r="D372" s="6" t="s">
        <v>138</v>
      </c>
    </row>
    <row r="373" spans="1:4">
      <c r="A373" s="5" t="s">
        <v>572</v>
      </c>
      <c r="B373" s="5">
        <v>22.1</v>
      </c>
      <c r="C373" s="5">
        <v>0.579</v>
      </c>
      <c r="D373" s="6" t="s">
        <v>138</v>
      </c>
    </row>
    <row r="374" spans="1:4">
      <c r="A374" s="5" t="s">
        <v>573</v>
      </c>
      <c r="B374" s="5">
        <v>26.2</v>
      </c>
      <c r="C374" s="5">
        <v>0.574</v>
      </c>
      <c r="D374" s="6" t="s">
        <v>138</v>
      </c>
    </row>
    <row r="375" spans="1:4">
      <c r="A375" s="5" t="s">
        <v>574</v>
      </c>
      <c r="B375" s="5">
        <v>37.7</v>
      </c>
      <c r="C375" s="5">
        <v>0.561</v>
      </c>
      <c r="D375" s="6" t="s">
        <v>140</v>
      </c>
    </row>
    <row r="376" spans="1:4">
      <c r="A376" s="5" t="s">
        <v>575</v>
      </c>
      <c r="B376" s="5">
        <v>29.9</v>
      </c>
      <c r="C376" s="5">
        <v>0.779</v>
      </c>
      <c r="D376" s="6" t="s">
        <v>138</v>
      </c>
    </row>
    <row r="377" spans="1:4">
      <c r="A377" s="5" t="s">
        <v>576</v>
      </c>
      <c r="B377" s="5">
        <v>35.6</v>
      </c>
      <c r="C377" s="5">
        <v>0.774</v>
      </c>
      <c r="D377" s="6" t="s">
        <v>138</v>
      </c>
    </row>
    <row r="378" spans="1:4">
      <c r="A378" s="5" t="s">
        <v>577</v>
      </c>
      <c r="B378" s="5">
        <v>51.8</v>
      </c>
      <c r="C378" s="5">
        <v>0.761</v>
      </c>
      <c r="D378" s="6" t="s">
        <v>140</v>
      </c>
    </row>
    <row r="379" spans="1:4">
      <c r="A379" s="5" t="s">
        <v>578</v>
      </c>
      <c r="B379" s="5">
        <v>45</v>
      </c>
      <c r="C379" s="5">
        <v>0.974</v>
      </c>
      <c r="D379" s="6" t="s">
        <v>138</v>
      </c>
    </row>
    <row r="380" spans="1:4">
      <c r="A380" s="5" t="s">
        <v>579</v>
      </c>
      <c r="B380" s="5">
        <v>65.9</v>
      </c>
      <c r="C380" s="5">
        <v>0.961</v>
      </c>
      <c r="D380" s="6" t="s">
        <v>139</v>
      </c>
    </row>
    <row r="381" spans="1:4">
      <c r="A381" s="5" t="s">
        <v>456</v>
      </c>
      <c r="B381" s="5">
        <v>2.62</v>
      </c>
      <c r="C381" s="5">
        <v>0.141</v>
      </c>
      <c r="D381" s="6" t="s">
        <v>138</v>
      </c>
    </row>
    <row r="382" spans="1:4">
      <c r="A382" s="5" t="s">
        <v>457</v>
      </c>
      <c r="B382" s="5">
        <v>3.07</v>
      </c>
      <c r="C382" s="5">
        <v>0.14</v>
      </c>
      <c r="D382" s="6" t="s">
        <v>138</v>
      </c>
    </row>
    <row r="383" spans="1:4">
      <c r="A383" s="5" t="s">
        <v>458</v>
      </c>
      <c r="B383" s="5">
        <v>2.93</v>
      </c>
      <c r="C383" s="5">
        <v>0.193</v>
      </c>
      <c r="D383" s="6" t="s">
        <v>138</v>
      </c>
    </row>
    <row r="384" spans="1:4">
      <c r="A384" s="5" t="s">
        <v>459</v>
      </c>
      <c r="B384" s="5">
        <v>3.6</v>
      </c>
      <c r="C384" s="5">
        <v>0.191</v>
      </c>
      <c r="D384" s="6" t="s">
        <v>138</v>
      </c>
    </row>
    <row r="385" spans="1:4">
      <c r="A385" s="5" t="s">
        <v>580</v>
      </c>
      <c r="B385" s="5">
        <v>4.25</v>
      </c>
      <c r="C385" s="5">
        <v>0.19</v>
      </c>
      <c r="D385" s="6" t="s">
        <v>138</v>
      </c>
    </row>
    <row r="386" spans="1:4">
      <c r="A386" s="5" t="s">
        <v>461</v>
      </c>
      <c r="B386" s="5">
        <v>2.38</v>
      </c>
      <c r="C386" s="5">
        <v>0.195</v>
      </c>
      <c r="D386" s="6" t="s">
        <v>138</v>
      </c>
    </row>
    <row r="387" spans="1:4">
      <c r="A387" s="5" t="s">
        <v>462</v>
      </c>
      <c r="B387" s="5">
        <v>2.93</v>
      </c>
      <c r="C387" s="5">
        <v>0.193</v>
      </c>
      <c r="D387" s="6" t="s">
        <v>138</v>
      </c>
    </row>
    <row r="388" spans="1:4">
      <c r="A388" s="5" t="s">
        <v>463</v>
      </c>
      <c r="B388" s="5">
        <v>3.6</v>
      </c>
      <c r="C388" s="5">
        <v>0.191</v>
      </c>
      <c r="D388" s="6" t="s">
        <v>138</v>
      </c>
    </row>
    <row r="389" spans="1:4">
      <c r="A389" s="5" t="s">
        <v>464</v>
      </c>
      <c r="B389" s="5">
        <v>3.01</v>
      </c>
      <c r="C389" s="5">
        <v>0.245</v>
      </c>
      <c r="D389" s="6" t="s">
        <v>138</v>
      </c>
    </row>
    <row r="390" spans="1:4">
      <c r="A390" s="5" t="s">
        <v>465</v>
      </c>
      <c r="B390" s="5">
        <v>3.72</v>
      </c>
      <c r="C390" s="5">
        <v>0.243</v>
      </c>
      <c r="D390" s="6" t="s">
        <v>138</v>
      </c>
    </row>
    <row r="391" spans="1:4">
      <c r="A391" s="5" t="s">
        <v>466</v>
      </c>
      <c r="B391" s="5">
        <v>4.58</v>
      </c>
      <c r="C391" s="5">
        <v>0.241</v>
      </c>
      <c r="D391" s="6" t="s">
        <v>138</v>
      </c>
    </row>
    <row r="392" spans="1:4">
      <c r="A392" s="5" t="s">
        <v>467</v>
      </c>
      <c r="B392" s="5">
        <v>5.42</v>
      </c>
      <c r="C392" s="5">
        <v>0.24</v>
      </c>
      <c r="D392" s="6" t="s">
        <v>138</v>
      </c>
    </row>
    <row r="393" spans="1:4">
      <c r="A393" s="5" t="s">
        <v>581</v>
      </c>
      <c r="B393" s="5">
        <v>6.92</v>
      </c>
      <c r="C393" s="5">
        <v>0.233</v>
      </c>
      <c r="D393" s="6" t="s">
        <v>138</v>
      </c>
    </row>
    <row r="394" spans="1:4">
      <c r="A394" s="5" t="s">
        <v>469</v>
      </c>
      <c r="B394" s="5">
        <v>8.35</v>
      </c>
      <c r="C394" s="5">
        <v>0.229</v>
      </c>
      <c r="D394" s="6" t="s">
        <v>138</v>
      </c>
    </row>
    <row r="395" spans="1:4">
      <c r="A395" s="5" t="s">
        <v>470</v>
      </c>
      <c r="B395" s="5">
        <v>9.67</v>
      </c>
      <c r="C395" s="5">
        <v>0.224</v>
      </c>
      <c r="D395" s="6" t="s">
        <v>138</v>
      </c>
    </row>
    <row r="396" spans="1:4">
      <c r="A396" s="5" t="s">
        <v>471</v>
      </c>
      <c r="B396" s="5">
        <v>3.64</v>
      </c>
      <c r="C396" s="5">
        <v>0.295</v>
      </c>
      <c r="D396" s="6" t="s">
        <v>138</v>
      </c>
    </row>
    <row r="397" spans="1:4">
      <c r="A397" s="5" t="s">
        <v>582</v>
      </c>
      <c r="B397" s="5">
        <v>4.5</v>
      </c>
      <c r="C397" s="5">
        <v>0.293</v>
      </c>
      <c r="D397" s="6" t="s">
        <v>138</v>
      </c>
    </row>
    <row r="398" spans="1:4">
      <c r="A398" s="5" t="s">
        <v>473</v>
      </c>
      <c r="B398" s="5">
        <v>5.56</v>
      </c>
      <c r="C398" s="5">
        <v>0.291</v>
      </c>
      <c r="D398" s="6" t="s">
        <v>138</v>
      </c>
    </row>
    <row r="399" spans="1:4">
      <c r="A399" s="5" t="s">
        <v>583</v>
      </c>
      <c r="B399" s="5">
        <v>6.6</v>
      </c>
      <c r="C399" s="5">
        <v>0.29</v>
      </c>
      <c r="D399" s="6" t="s">
        <v>138</v>
      </c>
    </row>
    <row r="400" spans="1:4">
      <c r="A400" s="5" t="s">
        <v>475</v>
      </c>
      <c r="B400" s="5">
        <v>7.53</v>
      </c>
      <c r="C400" s="5">
        <v>0.285</v>
      </c>
      <c r="D400" s="6" t="s">
        <v>138</v>
      </c>
    </row>
    <row r="401" spans="1:4">
      <c r="A401" s="5" t="s">
        <v>584</v>
      </c>
      <c r="B401" s="5">
        <v>8.49</v>
      </c>
      <c r="C401" s="5">
        <v>0.283</v>
      </c>
      <c r="D401" s="6" t="s">
        <v>138</v>
      </c>
    </row>
    <row r="402" spans="1:4">
      <c r="A402" s="5" t="s">
        <v>585</v>
      </c>
      <c r="B402" s="5">
        <v>10.3</v>
      </c>
      <c r="C402" s="5">
        <v>0.279</v>
      </c>
      <c r="D402" s="6" t="s">
        <v>138</v>
      </c>
    </row>
    <row r="403" spans="1:4">
      <c r="A403" s="5" t="s">
        <v>586</v>
      </c>
      <c r="B403" s="5">
        <v>12</v>
      </c>
      <c r="C403" s="5">
        <v>0.274</v>
      </c>
      <c r="D403" s="6" t="s">
        <v>138</v>
      </c>
    </row>
    <row r="404" spans="1:4">
      <c r="A404" s="5" t="s">
        <v>587</v>
      </c>
      <c r="B404" s="5">
        <v>6.07</v>
      </c>
      <c r="C404" s="5">
        <v>0.393</v>
      </c>
      <c r="D404" s="6" t="s">
        <v>138</v>
      </c>
    </row>
    <row r="405" spans="1:4">
      <c r="A405" s="5" t="s">
        <v>588</v>
      </c>
      <c r="B405" s="5">
        <v>7.53</v>
      </c>
      <c r="C405" s="5">
        <v>0.391</v>
      </c>
      <c r="D405" s="6" t="s">
        <v>138</v>
      </c>
    </row>
    <row r="406" spans="1:4">
      <c r="A406" s="5" t="s">
        <v>589</v>
      </c>
      <c r="B406" s="5">
        <v>8.96</v>
      </c>
      <c r="C406" s="5">
        <v>0.39</v>
      </c>
      <c r="D406" s="6" t="s">
        <v>138</v>
      </c>
    </row>
    <row r="407" spans="1:4">
      <c r="A407" s="5" t="s">
        <v>590</v>
      </c>
      <c r="B407" s="5">
        <v>11.6</v>
      </c>
      <c r="C407" s="5">
        <v>0.383</v>
      </c>
      <c r="D407" s="6" t="s">
        <v>138</v>
      </c>
    </row>
    <row r="408" spans="1:4">
      <c r="A408" s="5" t="s">
        <v>591</v>
      </c>
      <c r="B408" s="5">
        <v>14.2</v>
      </c>
      <c r="C408" s="5">
        <v>0.379</v>
      </c>
      <c r="D408" s="6" t="s">
        <v>138</v>
      </c>
    </row>
    <row r="409" spans="1:4">
      <c r="A409" s="5" t="s">
        <v>592</v>
      </c>
      <c r="B409" s="5">
        <v>16.7</v>
      </c>
      <c r="C409" s="5">
        <v>0.374</v>
      </c>
      <c r="D409" s="6" t="s">
        <v>138</v>
      </c>
    </row>
    <row r="410" spans="1:4">
      <c r="A410" s="5" t="s">
        <v>485</v>
      </c>
      <c r="B410" s="5">
        <v>6.07</v>
      </c>
      <c r="C410" s="5">
        <v>0.393</v>
      </c>
      <c r="D410" s="6" t="s">
        <v>138</v>
      </c>
    </row>
    <row r="411" spans="1:4">
      <c r="A411" s="5" t="s">
        <v>486</v>
      </c>
      <c r="B411" s="5">
        <v>7.53</v>
      </c>
      <c r="C411" s="5">
        <v>0.391</v>
      </c>
      <c r="D411" s="6" t="s">
        <v>138</v>
      </c>
    </row>
    <row r="412" spans="1:4">
      <c r="A412" s="5" t="s">
        <v>593</v>
      </c>
      <c r="B412" s="5">
        <v>8.96</v>
      </c>
      <c r="C412" s="5">
        <v>0.39</v>
      </c>
      <c r="D412" s="6" t="s">
        <v>138</v>
      </c>
    </row>
    <row r="413" spans="1:4">
      <c r="A413" s="5" t="s">
        <v>594</v>
      </c>
      <c r="B413" s="5">
        <v>11.6</v>
      </c>
      <c r="C413" s="5">
        <v>0.383</v>
      </c>
      <c r="D413" s="6" t="s">
        <v>138</v>
      </c>
    </row>
    <row r="414" spans="1:4">
      <c r="A414" s="5" t="s">
        <v>595</v>
      </c>
      <c r="B414" s="5">
        <v>14.2</v>
      </c>
      <c r="C414" s="5">
        <v>0.379</v>
      </c>
      <c r="D414" s="6" t="s">
        <v>138</v>
      </c>
    </row>
    <row r="415" spans="1:4">
      <c r="A415" s="5" t="s">
        <v>596</v>
      </c>
      <c r="B415" s="5">
        <v>16.7</v>
      </c>
      <c r="C415" s="5">
        <v>0.374</v>
      </c>
      <c r="D415" s="6" t="s">
        <v>138</v>
      </c>
    </row>
    <row r="416" spans="1:4">
      <c r="A416" s="5" t="s">
        <v>597</v>
      </c>
      <c r="B416" s="5">
        <v>14.8</v>
      </c>
      <c r="C416" s="5">
        <v>0.483</v>
      </c>
      <c r="D416" s="6" t="s">
        <v>138</v>
      </c>
    </row>
    <row r="417" spans="1:4">
      <c r="A417" s="5" t="s">
        <v>598</v>
      </c>
      <c r="B417" s="5">
        <v>18.2</v>
      </c>
      <c r="C417" s="5">
        <v>0.479</v>
      </c>
      <c r="D417" s="6" t="s">
        <v>138</v>
      </c>
    </row>
    <row r="418" spans="1:4">
      <c r="A418" s="5" t="s">
        <v>599</v>
      </c>
      <c r="B418" s="5">
        <v>21.4</v>
      </c>
      <c r="C418" s="5">
        <v>0.474</v>
      </c>
      <c r="D418" s="6" t="s">
        <v>138</v>
      </c>
    </row>
    <row r="419" spans="1:4">
      <c r="A419" s="5" t="s">
        <v>600</v>
      </c>
      <c r="B419" s="5">
        <v>17.9</v>
      </c>
      <c r="C419" s="5">
        <v>0.583</v>
      </c>
      <c r="D419" s="6" t="s">
        <v>138</v>
      </c>
    </row>
    <row r="420" spans="1:4">
      <c r="A420" s="5" t="s">
        <v>601</v>
      </c>
      <c r="B420" s="5">
        <v>22.1</v>
      </c>
      <c r="C420" s="5">
        <v>0.579</v>
      </c>
      <c r="D420" s="6" t="s">
        <v>138</v>
      </c>
    </row>
    <row r="421" spans="1:4">
      <c r="A421" s="5" t="s">
        <v>602</v>
      </c>
      <c r="B421" s="5">
        <v>26.2</v>
      </c>
      <c r="C421" s="5">
        <v>0.574</v>
      </c>
      <c r="D421" s="6" t="s">
        <v>138</v>
      </c>
    </row>
    <row r="422" spans="1:4">
      <c r="A422" s="5" t="s">
        <v>603</v>
      </c>
      <c r="B422" s="5">
        <v>37.7</v>
      </c>
      <c r="C422" s="5">
        <v>0.561</v>
      </c>
      <c r="D422" s="6" t="s">
        <v>140</v>
      </c>
    </row>
    <row r="423" spans="1:4">
      <c r="A423" s="5" t="s">
        <v>604</v>
      </c>
      <c r="B423" s="5">
        <v>29.9</v>
      </c>
      <c r="C423" s="5">
        <v>0.8</v>
      </c>
      <c r="D423" s="6" t="s">
        <v>139</v>
      </c>
    </row>
    <row r="424" spans="1:4">
      <c r="A424" s="5" t="s">
        <v>261</v>
      </c>
      <c r="B424" s="5">
        <v>35.6</v>
      </c>
      <c r="C424" s="5">
        <v>0.8</v>
      </c>
      <c r="D424" s="6" t="s">
        <v>139</v>
      </c>
    </row>
    <row r="425" spans="1:4">
      <c r="A425" s="5" t="s">
        <v>605</v>
      </c>
      <c r="B425" s="5">
        <v>51.8</v>
      </c>
      <c r="C425" s="5">
        <v>0.8</v>
      </c>
      <c r="D425" s="6" t="s">
        <v>139</v>
      </c>
    </row>
    <row r="426" spans="1:4">
      <c r="A426" s="5" t="s">
        <v>606</v>
      </c>
      <c r="B426" s="5">
        <v>17.7</v>
      </c>
      <c r="C426" s="5">
        <v>0.569</v>
      </c>
      <c r="D426" s="6" t="s">
        <v>137</v>
      </c>
    </row>
    <row r="427" spans="1:4">
      <c r="A427" s="5" t="s">
        <v>607</v>
      </c>
      <c r="B427" s="5">
        <v>20.9</v>
      </c>
      <c r="C427" s="5">
        <v>0.628</v>
      </c>
      <c r="D427" s="6" t="s">
        <v>137</v>
      </c>
    </row>
    <row r="428" spans="1:4">
      <c r="A428" s="5" t="s">
        <v>608</v>
      </c>
      <c r="B428" s="5">
        <v>22.9</v>
      </c>
      <c r="C428" s="5">
        <v>0.668</v>
      </c>
      <c r="D428" s="6" t="s">
        <v>137</v>
      </c>
    </row>
    <row r="429" spans="1:4">
      <c r="A429" s="5" t="s">
        <v>609</v>
      </c>
      <c r="B429" s="5">
        <v>25.1</v>
      </c>
      <c r="C429" s="5">
        <v>0.727</v>
      </c>
      <c r="D429" s="6" t="s">
        <v>137</v>
      </c>
    </row>
    <row r="430" spans="1:4">
      <c r="A430" s="5" t="s">
        <v>234</v>
      </c>
      <c r="B430" s="5">
        <v>35.5</v>
      </c>
      <c r="C430" s="5">
        <v>0.822</v>
      </c>
      <c r="D430" s="6" t="s">
        <v>137</v>
      </c>
    </row>
    <row r="431" spans="1:4">
      <c r="A431" s="5" t="s">
        <v>279</v>
      </c>
      <c r="B431" s="5">
        <v>40.1</v>
      </c>
      <c r="C431" s="5">
        <v>0.92</v>
      </c>
      <c r="D431" s="6" t="s">
        <v>137</v>
      </c>
    </row>
    <row r="432" spans="1:4">
      <c r="A432" s="5" t="s">
        <v>253</v>
      </c>
      <c r="B432" s="5">
        <v>55.2</v>
      </c>
      <c r="C432" s="5">
        <v>1.12</v>
      </c>
      <c r="D432" s="6" t="s">
        <v>137</v>
      </c>
    </row>
    <row r="433" spans="1:4">
      <c r="A433" s="5"/>
      <c r="B433" s="5"/>
      <c r="C433" s="5"/>
      <c r="D433" s="6"/>
    </row>
    <row r="434" spans="1:4">
      <c r="A434" s="5"/>
      <c r="B434" s="5"/>
      <c r="C434" s="5"/>
      <c r="D434" s="6"/>
    </row>
    <row r="435" spans="1:4">
      <c r="A435" s="7" t="s">
        <v>610</v>
      </c>
      <c r="B435" s="7"/>
      <c r="C435" s="7"/>
      <c r="D435" s="7"/>
    </row>
    <row r="436" spans="1:4">
      <c r="A436" s="5" t="s">
        <v>611</v>
      </c>
      <c r="B436" s="5">
        <v>3.48</v>
      </c>
      <c r="C436" s="5">
        <v>0.195</v>
      </c>
      <c r="D436" s="6" t="s">
        <v>137</v>
      </c>
    </row>
    <row r="437" spans="1:4">
      <c r="A437" s="5" t="s">
        <v>612</v>
      </c>
      <c r="B437" s="5">
        <v>4.46</v>
      </c>
      <c r="C437" s="5">
        <v>0.195</v>
      </c>
      <c r="D437" s="6" t="s">
        <v>137</v>
      </c>
    </row>
    <row r="438" spans="1:4">
      <c r="A438" s="5" t="s">
        <v>613</v>
      </c>
      <c r="B438" s="5">
        <v>5.68</v>
      </c>
      <c r="C438" s="5">
        <v>0.195</v>
      </c>
      <c r="D438" s="6" t="s">
        <v>137</v>
      </c>
    </row>
    <row r="439" spans="1:4">
      <c r="A439" s="5" t="s">
        <v>614</v>
      </c>
      <c r="B439" s="5">
        <v>3.84</v>
      </c>
      <c r="C439" s="5">
        <v>0.215</v>
      </c>
      <c r="D439" s="6" t="s">
        <v>137</v>
      </c>
    </row>
    <row r="440" spans="1:4">
      <c r="A440" s="5" t="s">
        <v>615</v>
      </c>
      <c r="B440" s="5">
        <v>4.93</v>
      </c>
      <c r="C440" s="5">
        <v>0.215</v>
      </c>
      <c r="D440" s="6" t="s">
        <v>137</v>
      </c>
    </row>
    <row r="441" spans="1:4">
      <c r="A441" s="5" t="s">
        <v>207</v>
      </c>
      <c r="B441" s="5">
        <v>4.56</v>
      </c>
      <c r="C441" s="5">
        <v>0.255</v>
      </c>
      <c r="D441" s="6" t="s">
        <v>137</v>
      </c>
    </row>
    <row r="442" spans="1:4">
      <c r="A442" s="5" t="s">
        <v>616</v>
      </c>
      <c r="B442" s="5">
        <v>5.87</v>
      </c>
      <c r="C442" s="5">
        <v>0.255</v>
      </c>
      <c r="D442" s="6" t="s">
        <v>137</v>
      </c>
    </row>
    <row r="443" spans="1:4">
      <c r="A443" s="5" t="s">
        <v>617</v>
      </c>
      <c r="B443" s="5">
        <v>7.51</v>
      </c>
      <c r="C443" s="5">
        <v>0.255</v>
      </c>
      <c r="D443" s="6" t="s">
        <v>137</v>
      </c>
    </row>
    <row r="444" spans="1:4">
      <c r="A444" s="5" t="s">
        <v>618</v>
      </c>
      <c r="B444" s="5">
        <v>9.02</v>
      </c>
      <c r="C444" s="5">
        <v>0.255</v>
      </c>
      <c r="D444" s="6" t="s">
        <v>137</v>
      </c>
    </row>
    <row r="445" spans="1:4">
      <c r="A445" s="5" t="s">
        <v>619</v>
      </c>
      <c r="B445" s="5">
        <v>5.27</v>
      </c>
      <c r="C445" s="5">
        <v>0.292</v>
      </c>
      <c r="D445" s="6" t="s">
        <v>137</v>
      </c>
    </row>
    <row r="446" spans="1:4">
      <c r="A446" s="5" t="s">
        <v>620</v>
      </c>
      <c r="B446" s="5">
        <v>6.81</v>
      </c>
      <c r="C446" s="5">
        <v>0.292</v>
      </c>
      <c r="D446" s="6" t="s">
        <v>137</v>
      </c>
    </row>
    <row r="447" spans="1:4">
      <c r="A447" s="5" t="s">
        <v>198</v>
      </c>
      <c r="B447" s="5">
        <v>8.73</v>
      </c>
      <c r="C447" s="5">
        <v>0.292</v>
      </c>
      <c r="D447" s="6" t="s">
        <v>137</v>
      </c>
    </row>
    <row r="448" spans="1:4">
      <c r="A448" s="5" t="s">
        <v>621</v>
      </c>
      <c r="B448" s="5">
        <v>10.5</v>
      </c>
      <c r="C448" s="5">
        <v>0.292</v>
      </c>
      <c r="D448" s="6" t="s">
        <v>137</v>
      </c>
    </row>
    <row r="449" spans="1:4">
      <c r="A449" s="5" t="s">
        <v>622</v>
      </c>
      <c r="B449" s="5">
        <v>8.22</v>
      </c>
      <c r="C449" s="5">
        <v>0.352</v>
      </c>
      <c r="D449" s="6" t="s">
        <v>137</v>
      </c>
    </row>
    <row r="450" spans="1:4">
      <c r="A450" s="5" t="s">
        <v>623</v>
      </c>
      <c r="B450" s="5">
        <v>10.6</v>
      </c>
      <c r="C450" s="5">
        <v>0.352</v>
      </c>
      <c r="D450" s="6" t="s">
        <v>137</v>
      </c>
    </row>
    <row r="451" spans="1:4">
      <c r="A451" s="5" t="s">
        <v>624</v>
      </c>
      <c r="B451" s="5">
        <v>12.7</v>
      </c>
      <c r="C451" s="5">
        <v>0.352</v>
      </c>
      <c r="D451" s="6" t="s">
        <v>137</v>
      </c>
    </row>
    <row r="452" spans="1:4">
      <c r="A452" s="5" t="s">
        <v>625</v>
      </c>
      <c r="B452" s="5">
        <v>9.16</v>
      </c>
      <c r="C452" s="5">
        <v>0.392</v>
      </c>
      <c r="D452" s="6" t="s">
        <v>137</v>
      </c>
    </row>
    <row r="453" spans="1:4">
      <c r="A453" s="5" t="s">
        <v>626</v>
      </c>
      <c r="B453" s="5">
        <v>11.8</v>
      </c>
      <c r="C453" s="5">
        <v>0.392</v>
      </c>
      <c r="D453" s="6" t="s">
        <v>137</v>
      </c>
    </row>
    <row r="454" spans="1:4">
      <c r="A454" s="5" t="s">
        <v>627</v>
      </c>
      <c r="B454" s="5">
        <v>14.2</v>
      </c>
      <c r="C454" s="5">
        <v>0.392</v>
      </c>
      <c r="D454" s="6" t="s">
        <v>137</v>
      </c>
    </row>
    <row r="455" spans="1:4">
      <c r="A455" s="5" t="s">
        <v>628</v>
      </c>
      <c r="B455" s="5">
        <v>21.9</v>
      </c>
      <c r="C455" s="5">
        <v>0.59</v>
      </c>
      <c r="D455" s="6" t="s">
        <v>137</v>
      </c>
    </row>
    <row r="456" spans="1:4">
      <c r="A456" s="5" t="s">
        <v>629</v>
      </c>
      <c r="B456" s="5">
        <v>27.3</v>
      </c>
      <c r="C456" s="5">
        <v>0.59</v>
      </c>
      <c r="D456" s="6" t="s">
        <v>137</v>
      </c>
    </row>
    <row r="457" spans="1:4">
      <c r="A457" s="5" t="s">
        <v>630</v>
      </c>
      <c r="B457" s="5">
        <v>35.4</v>
      </c>
      <c r="C457" s="5">
        <v>0.59</v>
      </c>
      <c r="D457" s="6" t="s">
        <v>137</v>
      </c>
    </row>
    <row r="458" spans="1:4">
      <c r="A458" s="5" t="s">
        <v>631</v>
      </c>
      <c r="B458" s="5">
        <v>42.1</v>
      </c>
      <c r="C458" s="5">
        <v>0.59</v>
      </c>
      <c r="D458" s="6" t="s">
        <v>137</v>
      </c>
    </row>
    <row r="459" spans="1:4">
      <c r="A459" s="5" t="s">
        <v>632</v>
      </c>
      <c r="B459" s="5">
        <v>40</v>
      </c>
      <c r="C459" s="5">
        <v>0.788</v>
      </c>
      <c r="D459" s="6" t="s">
        <v>137</v>
      </c>
    </row>
    <row r="460" spans="1:4">
      <c r="A460" s="5" t="s">
        <v>633</v>
      </c>
      <c r="B460" s="5">
        <v>48.7</v>
      </c>
      <c r="C460" s="5">
        <v>0.788</v>
      </c>
      <c r="D460" s="6" t="s">
        <v>137</v>
      </c>
    </row>
    <row r="461" spans="1:4">
      <c r="A461" s="5" t="s">
        <v>634</v>
      </c>
      <c r="B461" s="5">
        <v>54.4</v>
      </c>
      <c r="C461" s="5">
        <v>0.788</v>
      </c>
      <c r="D461" s="6" t="s">
        <v>137</v>
      </c>
    </row>
    <row r="462" spans="1:4">
      <c r="A462" s="5" t="s">
        <v>635</v>
      </c>
      <c r="B462" s="5">
        <v>60.1</v>
      </c>
      <c r="C462" s="5">
        <v>0.788</v>
      </c>
      <c r="D462" s="6" t="s">
        <v>137</v>
      </c>
    </row>
    <row r="463" spans="1:4">
      <c r="A463" s="5" t="s">
        <v>636</v>
      </c>
      <c r="B463" s="5">
        <v>76.8</v>
      </c>
      <c r="C463" s="5">
        <v>0.788</v>
      </c>
      <c r="D463" s="6" t="s">
        <v>137</v>
      </c>
    </row>
    <row r="464" spans="1:4">
      <c r="A464" s="5" t="s">
        <v>637</v>
      </c>
      <c r="B464" s="5">
        <v>4.4</v>
      </c>
      <c r="C464" s="5">
        <v>0.242</v>
      </c>
      <c r="D464" s="6" t="s">
        <v>137</v>
      </c>
    </row>
    <row r="465" spans="1:4">
      <c r="A465" s="5" t="s">
        <v>638</v>
      </c>
      <c r="B465" s="5">
        <v>5.66</v>
      </c>
      <c r="C465" s="5">
        <v>0.242</v>
      </c>
      <c r="D465" s="6" t="s">
        <v>137</v>
      </c>
    </row>
    <row r="466" spans="1:4">
      <c r="A466" s="5" t="s">
        <v>639</v>
      </c>
      <c r="B466" s="5">
        <v>7.23</v>
      </c>
      <c r="C466" s="5">
        <v>0.242</v>
      </c>
      <c r="D466" s="6" t="s">
        <v>137</v>
      </c>
    </row>
    <row r="467" spans="1:4">
      <c r="A467" s="5" t="s">
        <v>640</v>
      </c>
      <c r="B467" s="5">
        <v>7.98</v>
      </c>
      <c r="C467" s="5">
        <v>0.342</v>
      </c>
      <c r="D467" s="6" t="s">
        <v>137</v>
      </c>
    </row>
    <row r="468" spans="1:4">
      <c r="A468" s="5" t="s">
        <v>641</v>
      </c>
      <c r="B468" s="5">
        <v>10.3</v>
      </c>
      <c r="C468" s="5">
        <v>0.342</v>
      </c>
      <c r="D468" s="6" t="s">
        <v>137</v>
      </c>
    </row>
    <row r="469" spans="1:4">
      <c r="A469" s="5" t="s">
        <v>642</v>
      </c>
      <c r="B469" s="5">
        <v>12.4</v>
      </c>
      <c r="C469" s="5">
        <v>0.342</v>
      </c>
      <c r="D469" s="6" t="s">
        <v>137</v>
      </c>
    </row>
    <row r="470" spans="1:4">
      <c r="A470" s="5" t="s">
        <v>643</v>
      </c>
      <c r="B470" s="5">
        <v>9.16</v>
      </c>
      <c r="C470" s="5">
        <v>0.392</v>
      </c>
      <c r="D470" s="6" t="s">
        <v>137</v>
      </c>
    </row>
    <row r="471" spans="1:4">
      <c r="A471" s="5" t="s">
        <v>644</v>
      </c>
      <c r="B471" s="5">
        <v>11.8</v>
      </c>
      <c r="C471" s="5">
        <v>0.392</v>
      </c>
      <c r="D471" s="6" t="s">
        <v>137</v>
      </c>
    </row>
    <row r="472" spans="1:4">
      <c r="A472" s="5" t="s">
        <v>645</v>
      </c>
      <c r="B472" s="5">
        <v>14.2</v>
      </c>
      <c r="C472" s="5">
        <v>0.392</v>
      </c>
      <c r="D472" s="6" t="s">
        <v>137</v>
      </c>
    </row>
    <row r="473" spans="1:4">
      <c r="A473" s="5" t="s">
        <v>646</v>
      </c>
      <c r="B473" s="5">
        <v>17.7</v>
      </c>
      <c r="C473" s="5">
        <v>0.392</v>
      </c>
      <c r="D473" s="6" t="s">
        <v>137</v>
      </c>
    </row>
    <row r="474" spans="1:4">
      <c r="A474" s="5" t="s">
        <v>211</v>
      </c>
      <c r="B474" s="5">
        <v>14.3</v>
      </c>
      <c r="C474" s="5">
        <v>0.471</v>
      </c>
      <c r="D474" s="6" t="s">
        <v>137</v>
      </c>
    </row>
    <row r="475" spans="1:4">
      <c r="A475" s="5" t="s">
        <v>647</v>
      </c>
      <c r="B475" s="5">
        <v>17.3</v>
      </c>
      <c r="C475" s="5">
        <v>0.471</v>
      </c>
      <c r="D475" s="6" t="s">
        <v>137</v>
      </c>
    </row>
    <row r="476" spans="1:4">
      <c r="A476" s="5" t="s">
        <v>648</v>
      </c>
      <c r="B476" s="5">
        <v>21.6</v>
      </c>
      <c r="C476" s="5">
        <v>0.471</v>
      </c>
      <c r="D476" s="6" t="s">
        <v>137</v>
      </c>
    </row>
    <row r="477" spans="1:4">
      <c r="A477" s="5" t="s">
        <v>649</v>
      </c>
      <c r="B477" s="5">
        <v>27.9</v>
      </c>
      <c r="C477" s="5">
        <v>0.471</v>
      </c>
      <c r="D477" s="6" t="s">
        <v>137</v>
      </c>
    </row>
    <row r="478" spans="1:4">
      <c r="A478" s="5" t="s">
        <v>650</v>
      </c>
      <c r="B478" s="5">
        <v>18</v>
      </c>
      <c r="C478" s="5">
        <v>0.491</v>
      </c>
      <c r="D478" s="6" t="s">
        <v>137</v>
      </c>
    </row>
    <row r="479" spans="1:4">
      <c r="A479" s="5" t="s">
        <v>651</v>
      </c>
      <c r="B479" s="5">
        <v>22.5</v>
      </c>
      <c r="C479" s="5">
        <v>0.491</v>
      </c>
      <c r="D479" s="6" t="s">
        <v>137</v>
      </c>
    </row>
    <row r="480" spans="1:4">
      <c r="A480" s="5"/>
      <c r="B480" s="5"/>
      <c r="C480" s="5"/>
      <c r="D480" s="6"/>
    </row>
    <row r="481" spans="1:4">
      <c r="A481" s="7" t="s">
        <v>652</v>
      </c>
      <c r="B481" s="7"/>
      <c r="C481" s="7"/>
      <c r="D481" s="7"/>
    </row>
    <row r="482" spans="1:4">
      <c r="A482" s="5" t="s">
        <v>653</v>
      </c>
      <c r="B482" s="5">
        <v>4.19</v>
      </c>
      <c r="C482" s="5">
        <v>0.239</v>
      </c>
      <c r="D482" s="6" t="s">
        <v>138</v>
      </c>
    </row>
    <row r="483" spans="1:4">
      <c r="A483" s="5" t="s">
        <v>654</v>
      </c>
      <c r="B483" s="5">
        <v>4.19</v>
      </c>
      <c r="C483" s="5">
        <v>0.239</v>
      </c>
      <c r="D483" s="6" t="s">
        <v>138</v>
      </c>
    </row>
    <row r="484" spans="1:4">
      <c r="A484" s="5" t="s">
        <v>655</v>
      </c>
      <c r="B484" s="5">
        <v>5.75</v>
      </c>
      <c r="C484" s="5">
        <v>0.239</v>
      </c>
      <c r="D484" s="6" t="s">
        <v>138</v>
      </c>
    </row>
    <row r="485" spans="1:4">
      <c r="A485" s="5" t="s">
        <v>656</v>
      </c>
      <c r="B485" s="5">
        <v>5.75</v>
      </c>
      <c r="C485" s="5">
        <v>0.239</v>
      </c>
      <c r="D485" s="6" t="s">
        <v>138</v>
      </c>
    </row>
    <row r="486" spans="1:4">
      <c r="A486" s="5" t="s">
        <v>657</v>
      </c>
      <c r="B486" s="5">
        <v>5.53</v>
      </c>
      <c r="C486" s="5">
        <v>0.279</v>
      </c>
      <c r="D486" s="6" t="s">
        <v>138</v>
      </c>
    </row>
    <row r="487" spans="1:4">
      <c r="A487" s="5" t="s">
        <v>658</v>
      </c>
      <c r="B487" s="5">
        <v>6.76</v>
      </c>
      <c r="C487" s="5">
        <v>0.279</v>
      </c>
      <c r="D487" s="6" t="s">
        <v>138</v>
      </c>
    </row>
    <row r="488" spans="1:4">
      <c r="A488" s="5" t="s">
        <v>659</v>
      </c>
      <c r="B488" s="5">
        <v>6.76</v>
      </c>
      <c r="C488" s="5">
        <v>0.279</v>
      </c>
      <c r="D488" s="6" t="s">
        <v>138</v>
      </c>
    </row>
    <row r="489" spans="1:4">
      <c r="A489" s="5" t="s">
        <v>660</v>
      </c>
      <c r="B489" s="5">
        <v>9.96</v>
      </c>
      <c r="C489" s="5">
        <v>0.279</v>
      </c>
      <c r="D489" s="6" t="s">
        <v>138</v>
      </c>
    </row>
    <row r="490" spans="1:4">
      <c r="A490" s="5" t="s">
        <v>661</v>
      </c>
      <c r="B490" s="5">
        <v>11.3</v>
      </c>
      <c r="C490" s="5">
        <v>0.279</v>
      </c>
      <c r="D490" s="6" t="s">
        <v>138</v>
      </c>
    </row>
    <row r="491" spans="1:4">
      <c r="A491" s="5" t="s">
        <v>662</v>
      </c>
      <c r="B491" s="5">
        <v>6.35</v>
      </c>
      <c r="C491" s="5">
        <v>0.319</v>
      </c>
      <c r="D491" s="6" t="s">
        <v>138</v>
      </c>
    </row>
    <row r="492" spans="1:4">
      <c r="A492" s="5" t="s">
        <v>663</v>
      </c>
      <c r="B492" s="5">
        <v>6.35</v>
      </c>
      <c r="C492" s="5">
        <v>0.319</v>
      </c>
      <c r="D492" s="6" t="s">
        <v>138</v>
      </c>
    </row>
    <row r="493" spans="1:4">
      <c r="A493" s="5" t="s">
        <v>664</v>
      </c>
      <c r="B493" s="5">
        <v>7.77</v>
      </c>
      <c r="C493" s="5">
        <v>0.319</v>
      </c>
      <c r="D493" s="6" t="s">
        <v>138</v>
      </c>
    </row>
    <row r="494" spans="1:4">
      <c r="A494" s="5" t="s">
        <v>665</v>
      </c>
      <c r="B494" s="5">
        <v>8.77</v>
      </c>
      <c r="C494" s="5">
        <v>0.359</v>
      </c>
      <c r="D494" s="6" t="s">
        <v>138</v>
      </c>
    </row>
    <row r="495" spans="1:4">
      <c r="A495" s="5" t="s">
        <v>666</v>
      </c>
      <c r="B495" s="5">
        <v>9.83</v>
      </c>
      <c r="C495" s="5">
        <v>0.359</v>
      </c>
      <c r="D495" s="6" t="s">
        <v>138</v>
      </c>
    </row>
    <row r="496" spans="1:4">
      <c r="A496" s="5" t="s">
        <v>667</v>
      </c>
      <c r="B496" s="5">
        <v>9.83</v>
      </c>
      <c r="C496" s="5">
        <v>0.359</v>
      </c>
      <c r="D496" s="6" t="s">
        <v>138</v>
      </c>
    </row>
    <row r="497" spans="1:4">
      <c r="A497" s="5" t="s">
        <v>668</v>
      </c>
      <c r="B497" s="5">
        <v>13</v>
      </c>
      <c r="C497" s="5">
        <v>0.359</v>
      </c>
      <c r="D497" s="6" t="s">
        <v>138</v>
      </c>
    </row>
    <row r="498" spans="1:4">
      <c r="A498" s="5" t="s">
        <v>669</v>
      </c>
      <c r="B498" s="5">
        <v>16</v>
      </c>
      <c r="C498" s="5">
        <v>0.359</v>
      </c>
      <c r="D498" s="6" t="s">
        <v>138</v>
      </c>
    </row>
    <row r="499" spans="1:4">
      <c r="A499" s="5" t="s">
        <v>670</v>
      </c>
      <c r="B499" s="5">
        <v>10.1</v>
      </c>
      <c r="C499" s="5">
        <v>0.439</v>
      </c>
      <c r="D499" s="6" t="s">
        <v>138</v>
      </c>
    </row>
    <row r="500" spans="1:4">
      <c r="A500" s="5" t="s">
        <v>671</v>
      </c>
      <c r="B500" s="5">
        <v>11.8</v>
      </c>
      <c r="C500" s="5">
        <v>0.439</v>
      </c>
      <c r="D500" s="6" t="s">
        <v>138</v>
      </c>
    </row>
    <row r="501" spans="1:4">
      <c r="A501" s="5" t="s">
        <v>672</v>
      </c>
      <c r="B501" s="5">
        <v>11.8</v>
      </c>
      <c r="C501" s="5">
        <v>0.439</v>
      </c>
      <c r="D501" s="6" t="s">
        <v>138</v>
      </c>
    </row>
    <row r="502" spans="1:4">
      <c r="A502" s="5" t="s">
        <v>673</v>
      </c>
      <c r="B502" s="5">
        <v>12</v>
      </c>
      <c r="C502" s="5">
        <v>0.519</v>
      </c>
      <c r="D502" s="6" t="s">
        <v>138</v>
      </c>
    </row>
    <row r="503" spans="1:4">
      <c r="A503" s="5" t="s">
        <v>674</v>
      </c>
      <c r="B503" s="5">
        <v>13.9</v>
      </c>
      <c r="C503" s="5">
        <v>0.519</v>
      </c>
      <c r="D503" s="6" t="s">
        <v>138</v>
      </c>
    </row>
    <row r="504" spans="1:4">
      <c r="A504" s="5" t="s">
        <v>675</v>
      </c>
      <c r="B504" s="5">
        <v>13.9</v>
      </c>
      <c r="C504" s="5">
        <v>0.519</v>
      </c>
      <c r="D504" s="6" t="s">
        <v>138</v>
      </c>
    </row>
    <row r="505" spans="1:4">
      <c r="A505" s="5" t="s">
        <v>676</v>
      </c>
      <c r="B505" s="5">
        <v>13</v>
      </c>
      <c r="C505" s="5">
        <v>0.529</v>
      </c>
      <c r="D505" s="6" t="s">
        <v>138</v>
      </c>
    </row>
    <row r="506" spans="1:4">
      <c r="A506" s="5" t="s">
        <v>202</v>
      </c>
      <c r="B506" s="5">
        <v>19.4</v>
      </c>
      <c r="C506" s="5">
        <v>0.529</v>
      </c>
      <c r="D506" s="6" t="s">
        <v>138</v>
      </c>
    </row>
    <row r="507" spans="1:4">
      <c r="A507" s="5" t="s">
        <v>677</v>
      </c>
      <c r="B507" s="5">
        <v>25.6</v>
      </c>
      <c r="C507" s="5">
        <v>0.529</v>
      </c>
      <c r="D507" s="6" t="s">
        <v>138</v>
      </c>
    </row>
    <row r="508" spans="1:4">
      <c r="A508" s="5" t="s">
        <v>678</v>
      </c>
      <c r="B508" s="5">
        <v>28.2</v>
      </c>
      <c r="C508" s="5">
        <v>0.529</v>
      </c>
      <c r="D508" s="6" t="s">
        <v>140</v>
      </c>
    </row>
    <row r="509" spans="1:4">
      <c r="A509" s="5" t="s">
        <v>679</v>
      </c>
      <c r="B509" s="5">
        <v>21.2</v>
      </c>
      <c r="C509" s="5">
        <v>0.688</v>
      </c>
      <c r="D509" s="6" t="s">
        <v>138</v>
      </c>
    </row>
    <row r="510" spans="1:4">
      <c r="A510" s="5" t="s">
        <v>680</v>
      </c>
      <c r="B510" s="5">
        <v>25.4</v>
      </c>
      <c r="C510" s="5">
        <v>0.688</v>
      </c>
      <c r="D510" s="6" t="s">
        <v>138</v>
      </c>
    </row>
    <row r="511" spans="1:4">
      <c r="A511" s="5" t="s">
        <v>681</v>
      </c>
      <c r="B511" s="5">
        <v>25.4</v>
      </c>
      <c r="C511" s="5">
        <v>0.688</v>
      </c>
      <c r="D511" s="6" t="s">
        <v>138</v>
      </c>
    </row>
    <row r="512" spans="1:4">
      <c r="A512" s="5" t="s">
        <v>682</v>
      </c>
      <c r="B512" s="5">
        <v>33.6</v>
      </c>
      <c r="C512" s="5">
        <v>0.688</v>
      </c>
      <c r="D512" s="6" t="s">
        <v>138</v>
      </c>
    </row>
    <row r="513" spans="1:4">
      <c r="A513" s="5" t="s">
        <v>683</v>
      </c>
      <c r="B513" s="5">
        <v>42.6</v>
      </c>
      <c r="C513" s="5">
        <v>0.688</v>
      </c>
      <c r="D513" s="6" t="s">
        <v>140</v>
      </c>
    </row>
    <row r="514" spans="1:4">
      <c r="A514" s="5" t="s">
        <v>684</v>
      </c>
      <c r="B514" s="5">
        <v>64.6</v>
      </c>
      <c r="C514" s="5">
        <v>0.688</v>
      </c>
      <c r="D514" s="6" t="s">
        <v>140</v>
      </c>
    </row>
    <row r="515" spans="1:4">
      <c r="A515" s="5" t="s">
        <v>685</v>
      </c>
      <c r="B515" s="5">
        <v>31.8</v>
      </c>
      <c r="C515" s="5">
        <v>0.858</v>
      </c>
      <c r="D515" s="6" t="s">
        <v>139</v>
      </c>
    </row>
    <row r="516" spans="1:4">
      <c r="A516" s="5" t="s">
        <v>686</v>
      </c>
      <c r="B516" s="5">
        <v>42.1</v>
      </c>
      <c r="C516" s="5">
        <v>0.858</v>
      </c>
      <c r="D516" s="6" t="s">
        <v>139</v>
      </c>
    </row>
    <row r="517" spans="1:4">
      <c r="A517" s="5" t="s">
        <v>687</v>
      </c>
      <c r="B517" s="5">
        <v>60.5</v>
      </c>
      <c r="C517" s="5">
        <v>0.858</v>
      </c>
      <c r="D517" s="6" t="s">
        <v>139</v>
      </c>
    </row>
    <row r="518" spans="1:4">
      <c r="A518" s="5" t="s">
        <v>688</v>
      </c>
      <c r="B518" s="5">
        <v>81.6</v>
      </c>
      <c r="C518" s="5">
        <v>0.858</v>
      </c>
      <c r="D518" s="6" t="s">
        <v>139</v>
      </c>
    </row>
    <row r="519" spans="1:4">
      <c r="A519" s="5"/>
      <c r="B519" s="5"/>
      <c r="C519" s="5"/>
      <c r="D519" s="6"/>
    </row>
    <row r="520" spans="1:4">
      <c r="A520" s="7" t="s">
        <v>689</v>
      </c>
      <c r="B520" s="7"/>
      <c r="C520" s="7"/>
      <c r="D520" s="7"/>
    </row>
    <row r="521" spans="1:4">
      <c r="A521" s="5" t="s">
        <v>690</v>
      </c>
      <c r="B521" s="5">
        <v>0.887</v>
      </c>
      <c r="C521" s="5">
        <v>0.0377</v>
      </c>
      <c r="D521" s="6" t="s">
        <v>137</v>
      </c>
    </row>
    <row r="522" spans="1:4">
      <c r="A522" s="5" t="s">
        <v>691</v>
      </c>
      <c r="B522" s="5">
        <v>1.58</v>
      </c>
      <c r="C522" s="5">
        <v>0.0503</v>
      </c>
      <c r="D522" s="6" t="s">
        <v>137</v>
      </c>
    </row>
    <row r="523" spans="1:4">
      <c r="A523" s="5" t="s">
        <v>692</v>
      </c>
      <c r="B523" s="5">
        <v>2</v>
      </c>
      <c r="C523" s="5">
        <v>0.0565</v>
      </c>
      <c r="D523" s="6" t="s">
        <v>137</v>
      </c>
    </row>
    <row r="524" spans="1:4">
      <c r="A524" s="5" t="s">
        <v>693</v>
      </c>
      <c r="B524" s="5">
        <v>2.46</v>
      </c>
      <c r="C524" s="5">
        <v>0.0629</v>
      </c>
      <c r="D524" s="6" t="s">
        <v>137</v>
      </c>
    </row>
    <row r="525" spans="1:4">
      <c r="A525" s="5" t="s">
        <v>694</v>
      </c>
      <c r="B525" s="5">
        <v>3.55</v>
      </c>
      <c r="C525" s="5">
        <v>0.0754</v>
      </c>
      <c r="D525" s="6" t="s">
        <v>137</v>
      </c>
    </row>
    <row r="526" spans="1:4">
      <c r="A526" s="5" t="s">
        <v>695</v>
      </c>
      <c r="B526" s="5">
        <v>15.4</v>
      </c>
      <c r="C526" s="5">
        <v>0.1571</v>
      </c>
      <c r="D526" s="6" t="s">
        <v>137</v>
      </c>
    </row>
    <row r="527" spans="1:4">
      <c r="A527" s="5"/>
      <c r="B527" s="5"/>
      <c r="C527" s="5"/>
      <c r="D527" s="6"/>
    </row>
    <row r="528" spans="1:4">
      <c r="A528" s="7" t="s">
        <v>696</v>
      </c>
      <c r="B528" s="7"/>
      <c r="C528" s="7"/>
      <c r="D528" s="7"/>
    </row>
    <row r="529" spans="1:4">
      <c r="A529" s="5" t="s">
        <v>697</v>
      </c>
      <c r="B529" s="5">
        <v>2.94</v>
      </c>
      <c r="C529" s="5">
        <v>0.16</v>
      </c>
      <c r="D529" s="6" t="s">
        <v>137</v>
      </c>
    </row>
    <row r="530" spans="1:4">
      <c r="A530" s="5" t="s">
        <v>698</v>
      </c>
      <c r="B530" s="5">
        <v>3.53</v>
      </c>
      <c r="C530" s="5">
        <v>0.162</v>
      </c>
      <c r="D530" s="6" t="s">
        <v>137</v>
      </c>
    </row>
    <row r="531" spans="1:4">
      <c r="A531" s="5" t="s">
        <v>699</v>
      </c>
      <c r="B531" s="5">
        <v>4.71</v>
      </c>
      <c r="C531" s="5">
        <v>0.166</v>
      </c>
      <c r="D531" s="6" t="s">
        <v>137</v>
      </c>
    </row>
    <row r="532" spans="1:4">
      <c r="A532" s="5" t="s">
        <v>700</v>
      </c>
      <c r="B532" s="5">
        <v>5.89</v>
      </c>
      <c r="C532" s="5">
        <v>0.17</v>
      </c>
      <c r="D532" s="6" t="s">
        <v>137</v>
      </c>
    </row>
    <row r="533" spans="1:4">
      <c r="A533" s="5" t="s">
        <v>701</v>
      </c>
      <c r="B533" s="5">
        <v>7.068</v>
      </c>
      <c r="C533" s="5">
        <v>0.174</v>
      </c>
      <c r="D533" s="6" t="s">
        <v>137</v>
      </c>
    </row>
    <row r="534" spans="1:4">
      <c r="A534" s="5" t="s">
        <v>702</v>
      </c>
      <c r="B534" s="5">
        <v>7.068</v>
      </c>
      <c r="C534" s="5">
        <v>0.174</v>
      </c>
      <c r="D534" s="6" t="s">
        <v>137</v>
      </c>
    </row>
    <row r="535" spans="1:4">
      <c r="A535" s="5" t="s">
        <v>703</v>
      </c>
      <c r="B535" s="5">
        <v>7.06</v>
      </c>
      <c r="C535" s="5">
        <v>0.2</v>
      </c>
      <c r="D535" s="6" t="s">
        <v>137</v>
      </c>
    </row>
    <row r="536" spans="1:4">
      <c r="A536" s="5" t="s">
        <v>704</v>
      </c>
      <c r="B536" s="5">
        <v>6.28</v>
      </c>
      <c r="C536" s="5">
        <v>0.216</v>
      </c>
      <c r="D536" s="6" t="s">
        <v>137</v>
      </c>
    </row>
    <row r="537" spans="1:4">
      <c r="A537" s="5" t="s">
        <v>705</v>
      </c>
      <c r="B537" s="5">
        <v>9.42</v>
      </c>
      <c r="C537" s="5">
        <v>0.224</v>
      </c>
      <c r="D537" s="6" t="s">
        <v>137</v>
      </c>
    </row>
    <row r="538" spans="1:4">
      <c r="A538" s="5" t="s">
        <v>706</v>
      </c>
      <c r="B538" s="5">
        <v>14.1</v>
      </c>
      <c r="C538" s="5">
        <v>0.324</v>
      </c>
      <c r="D538" s="6" t="s">
        <v>137</v>
      </c>
    </row>
    <row r="539" spans="1:4">
      <c r="A539" s="5" t="s">
        <v>707</v>
      </c>
      <c r="B539" s="5">
        <v>14.1</v>
      </c>
      <c r="C539" s="5">
        <v>0.38</v>
      </c>
      <c r="D539" s="6" t="s">
        <v>137</v>
      </c>
    </row>
    <row r="540" spans="1:4">
      <c r="A540" s="5" t="s">
        <v>708</v>
      </c>
      <c r="B540" s="5">
        <v>28.3</v>
      </c>
      <c r="C540" s="5">
        <v>0.4</v>
      </c>
      <c r="D540" s="6" t="s">
        <v>137</v>
      </c>
    </row>
    <row r="541" spans="1:4">
      <c r="A541" s="5" t="s">
        <v>709</v>
      </c>
      <c r="B541" s="5">
        <v>15.7</v>
      </c>
      <c r="C541" s="5">
        <v>0.42</v>
      </c>
      <c r="D541" s="6" t="s">
        <v>137</v>
      </c>
    </row>
    <row r="542" spans="1:4">
      <c r="A542" s="5" t="s">
        <v>710</v>
      </c>
      <c r="B542" s="5">
        <v>18.8</v>
      </c>
      <c r="C542" s="5">
        <v>0.424</v>
      </c>
      <c r="D542" s="6" t="s">
        <v>137</v>
      </c>
    </row>
    <row r="543" spans="1:4">
      <c r="A543" s="5" t="s">
        <v>711</v>
      </c>
      <c r="B543" s="5">
        <v>31.4</v>
      </c>
      <c r="C543" s="5">
        <v>0.44</v>
      </c>
      <c r="D543" s="6" t="s">
        <v>137</v>
      </c>
    </row>
    <row r="544" spans="1:4">
      <c r="A544" s="5" t="s">
        <v>712</v>
      </c>
      <c r="B544" s="5">
        <v>23.6</v>
      </c>
      <c r="C544" s="5">
        <v>0.524</v>
      </c>
      <c r="D544" s="6" t="s">
        <v>137</v>
      </c>
    </row>
    <row r="545" spans="1:4">
      <c r="A545" s="5" t="s">
        <v>713</v>
      </c>
      <c r="B545" s="5">
        <v>23.6</v>
      </c>
      <c r="C545" s="5">
        <v>0.62</v>
      </c>
      <c r="D545" s="6" t="s">
        <v>137</v>
      </c>
    </row>
    <row r="546" spans="1:4">
      <c r="A546" s="5" t="s">
        <v>714</v>
      </c>
      <c r="B546" s="5">
        <v>23.6</v>
      </c>
      <c r="C546" s="5">
        <v>0.62</v>
      </c>
      <c r="D546" s="6" t="s">
        <v>137</v>
      </c>
    </row>
    <row r="547" spans="1:4">
      <c r="A547" s="5" t="s">
        <v>715</v>
      </c>
      <c r="B547" s="5">
        <v>28.3</v>
      </c>
      <c r="C547" s="5">
        <v>0.624</v>
      </c>
      <c r="D547" s="6" t="s">
        <v>137</v>
      </c>
    </row>
    <row r="548" spans="1:4">
      <c r="A548" s="5" t="s">
        <v>716</v>
      </c>
      <c r="B548" s="5">
        <v>28.3</v>
      </c>
      <c r="C548" s="5">
        <v>0.624</v>
      </c>
      <c r="D548" s="6" t="s">
        <v>137</v>
      </c>
    </row>
    <row r="549" spans="1:4">
      <c r="A549" s="5"/>
      <c r="B549" s="5"/>
      <c r="C549" s="5"/>
      <c r="D549" s="6"/>
    </row>
    <row r="550" spans="1:4">
      <c r="A550" s="7" t="s">
        <v>717</v>
      </c>
      <c r="B550" s="8"/>
      <c r="C550" s="8"/>
      <c r="D550" s="8"/>
    </row>
    <row r="551" spans="1:4">
      <c r="A551" s="5" t="s">
        <v>718</v>
      </c>
      <c r="B551" s="5">
        <v>18.84</v>
      </c>
      <c r="C551" s="5">
        <v>0.5</v>
      </c>
      <c r="D551" s="6" t="s">
        <v>137</v>
      </c>
    </row>
    <row r="552" spans="1:4">
      <c r="A552" s="5" t="s">
        <v>719</v>
      </c>
      <c r="B552" s="5">
        <v>11.91</v>
      </c>
      <c r="C552" s="5">
        <v>0.319</v>
      </c>
      <c r="D552" s="6" t="s">
        <v>138</v>
      </c>
    </row>
    <row r="553" spans="1:4">
      <c r="A553" s="5" t="s">
        <v>720</v>
      </c>
      <c r="B553" s="5">
        <v>6.52</v>
      </c>
      <c r="C553" s="5">
        <v>0.239</v>
      </c>
      <c r="D553" s="6" t="s">
        <v>138</v>
      </c>
    </row>
    <row r="554" spans="1:4">
      <c r="A554" s="5" t="s">
        <v>721</v>
      </c>
      <c r="B554" s="5">
        <v>52.3</v>
      </c>
      <c r="C554" s="5">
        <v>0.858</v>
      </c>
      <c r="D554" s="6" t="s">
        <v>139</v>
      </c>
    </row>
    <row r="555" spans="1:4">
      <c r="A555" s="5" t="s">
        <v>722</v>
      </c>
      <c r="B555" s="5">
        <v>23.31</v>
      </c>
      <c r="C555" s="5">
        <v>0.609</v>
      </c>
      <c r="D555" s="6" t="s">
        <v>138</v>
      </c>
    </row>
    <row r="556" spans="1:4">
      <c r="A556" s="5" t="s">
        <v>723</v>
      </c>
      <c r="B556" s="5">
        <v>14.5</v>
      </c>
      <c r="C556" s="5">
        <v>0.359</v>
      </c>
      <c r="D556" s="6" t="s">
        <v>138</v>
      </c>
    </row>
    <row r="557" spans="1:4">
      <c r="A557" s="5" t="s">
        <v>724</v>
      </c>
      <c r="B557" s="5">
        <v>11.9</v>
      </c>
      <c r="C557" s="5">
        <v>0.4856</v>
      </c>
      <c r="D557" s="6" t="s">
        <v>137</v>
      </c>
    </row>
    <row r="558" spans="1:4">
      <c r="A558" s="5" t="s">
        <v>725</v>
      </c>
      <c r="B558" s="5">
        <v>7.31</v>
      </c>
      <c r="C558" s="5">
        <v>0.1894</v>
      </c>
      <c r="D558" s="6" t="s">
        <v>138</v>
      </c>
    </row>
    <row r="559" spans="1:4">
      <c r="A559" s="5" t="s">
        <v>726</v>
      </c>
      <c r="B559" s="5">
        <v>2.61</v>
      </c>
      <c r="C559" s="5">
        <v>0.1517</v>
      </c>
      <c r="D559" s="6" t="s">
        <v>138</v>
      </c>
    </row>
    <row r="560" spans="1:4">
      <c r="A560" s="5" t="s">
        <v>727</v>
      </c>
      <c r="B560" s="5">
        <v>9.63</v>
      </c>
      <c r="C560" s="5">
        <v>0.3192</v>
      </c>
      <c r="D560" s="6" t="s">
        <v>138</v>
      </c>
    </row>
    <row r="561" spans="1:4">
      <c r="A561" s="5" t="s">
        <v>728</v>
      </c>
      <c r="B561" s="5">
        <v>2</v>
      </c>
      <c r="C561" s="5">
        <v>0.1</v>
      </c>
      <c r="D561" s="6" t="s">
        <v>137</v>
      </c>
    </row>
    <row r="562" spans="1:4">
      <c r="A562" s="5" t="s">
        <v>729</v>
      </c>
      <c r="B562" s="5">
        <v>3.06</v>
      </c>
      <c r="C562" s="5">
        <v>0.132</v>
      </c>
      <c r="D562" s="6" t="s">
        <v>138</v>
      </c>
    </row>
    <row r="563" spans="1:4">
      <c r="A563" s="5" t="s">
        <v>730</v>
      </c>
      <c r="B563" s="5">
        <v>12.19</v>
      </c>
      <c r="C563" s="5">
        <v>0.359</v>
      </c>
      <c r="D563" s="6" t="s">
        <v>138</v>
      </c>
    </row>
    <row r="564" spans="1:4">
      <c r="A564" s="5" t="s">
        <v>731</v>
      </c>
      <c r="B564" s="5">
        <v>90.2</v>
      </c>
      <c r="C564" s="5">
        <v>1.17</v>
      </c>
      <c r="D564" s="6" t="s">
        <v>140</v>
      </c>
    </row>
    <row r="565" spans="1:4">
      <c r="A565" s="5" t="s">
        <v>732</v>
      </c>
      <c r="B565" s="5">
        <v>14.46</v>
      </c>
      <c r="C565" s="5">
        <v>0.358</v>
      </c>
      <c r="D565" s="6" t="s">
        <v>138</v>
      </c>
    </row>
    <row r="566" spans="1:4">
      <c r="A566" s="5" t="s">
        <v>733</v>
      </c>
      <c r="B566" s="5">
        <v>8.38</v>
      </c>
      <c r="C566" s="5">
        <v>0.279</v>
      </c>
      <c r="D566" s="6" t="s">
        <v>138</v>
      </c>
    </row>
    <row r="567" spans="1:4">
      <c r="A567" s="5" t="s">
        <v>734</v>
      </c>
      <c r="B567" s="5">
        <v>5.549</v>
      </c>
      <c r="C567" s="5">
        <v>0.0942</v>
      </c>
      <c r="D567" s="6" t="s">
        <v>137</v>
      </c>
    </row>
    <row r="568" spans="1:4">
      <c r="A568" s="5" t="s">
        <v>735</v>
      </c>
      <c r="B568" s="5">
        <v>29.8</v>
      </c>
      <c r="C568" s="5">
        <v>0.734</v>
      </c>
      <c r="D568" s="6" t="s">
        <v>137</v>
      </c>
    </row>
    <row r="569" spans="1:4">
      <c r="A569" s="5" t="s">
        <v>736</v>
      </c>
      <c r="B569" s="5">
        <v>19.625</v>
      </c>
      <c r="C569" s="5">
        <v>0.52</v>
      </c>
      <c r="D569" s="6" t="s">
        <v>137</v>
      </c>
    </row>
    <row r="570" spans="1:4">
      <c r="A570" s="5" t="s">
        <v>737</v>
      </c>
      <c r="B570" s="5">
        <v>31.4</v>
      </c>
      <c r="C570" s="5">
        <v>0.82</v>
      </c>
      <c r="D570" s="6" t="s">
        <v>137</v>
      </c>
    </row>
    <row r="571" spans="1:4">
      <c r="A571" s="5" t="s">
        <v>738</v>
      </c>
      <c r="B571" s="5">
        <v>27.475</v>
      </c>
      <c r="C571" s="5">
        <v>0.72</v>
      </c>
      <c r="D571" s="6" t="s">
        <v>137</v>
      </c>
    </row>
    <row r="572" spans="1:4">
      <c r="A572" s="5" t="s">
        <v>739</v>
      </c>
      <c r="B572" s="5">
        <v>70.65</v>
      </c>
      <c r="C572" s="5">
        <v>0.94</v>
      </c>
      <c r="D572" s="6" t="s">
        <v>137</v>
      </c>
    </row>
    <row r="573" spans="1:4">
      <c r="A573" s="5" t="s">
        <v>740</v>
      </c>
      <c r="B573" s="5">
        <v>88.313</v>
      </c>
      <c r="C573" s="5">
        <v>0.95</v>
      </c>
      <c r="D573" s="6" t="s">
        <v>137</v>
      </c>
    </row>
    <row r="574" spans="1:4">
      <c r="A574" s="5" t="s">
        <v>741</v>
      </c>
      <c r="B574" s="5">
        <v>113.04</v>
      </c>
      <c r="C574" s="5">
        <v>0.964</v>
      </c>
      <c r="D574" s="6" t="s">
        <v>137</v>
      </c>
    </row>
    <row r="575" spans="1:4">
      <c r="A575" s="5" t="s">
        <v>742</v>
      </c>
      <c r="B575" s="5">
        <v>14.9</v>
      </c>
      <c r="C575" s="5">
        <v>0.491</v>
      </c>
      <c r="D575" s="6" t="s">
        <v>137</v>
      </c>
    </row>
    <row r="576" spans="1:4">
      <c r="A576" s="5" t="s">
        <v>743</v>
      </c>
      <c r="B576" s="5">
        <v>10.35</v>
      </c>
      <c r="C576" s="5">
        <v>0.279</v>
      </c>
      <c r="D576" s="6" t="s">
        <v>138</v>
      </c>
    </row>
    <row r="577" spans="1:4">
      <c r="A577" s="5" t="s">
        <v>744</v>
      </c>
      <c r="B577" s="5">
        <v>70.65</v>
      </c>
      <c r="C577" s="5">
        <v>0.66</v>
      </c>
      <c r="D577" s="6" t="s">
        <v>137</v>
      </c>
    </row>
    <row r="578" spans="1:4">
      <c r="A578" s="5" t="s">
        <v>745</v>
      </c>
      <c r="B578" s="5">
        <v>46.32</v>
      </c>
      <c r="C578" s="5">
        <v>1.2</v>
      </c>
      <c r="D578" s="6" t="s">
        <v>138</v>
      </c>
    </row>
    <row r="579" spans="1:4">
      <c r="A579" s="5" t="s">
        <v>746</v>
      </c>
      <c r="B579" s="5">
        <v>18.84</v>
      </c>
      <c r="C579" s="5">
        <v>0.5</v>
      </c>
      <c r="D579" s="6" t="s">
        <v>138</v>
      </c>
    </row>
    <row r="580" spans="1:4">
      <c r="A580" s="5" t="s">
        <v>747</v>
      </c>
      <c r="B580" s="5">
        <v>18.6</v>
      </c>
      <c r="C580" s="5">
        <v>0.524</v>
      </c>
      <c r="D580" s="6" t="s">
        <v>137</v>
      </c>
    </row>
    <row r="581" spans="1:4">
      <c r="A581" s="5" t="s">
        <v>748</v>
      </c>
      <c r="B581" s="5">
        <v>12.2</v>
      </c>
      <c r="C581" s="5">
        <v>0.392</v>
      </c>
      <c r="D581" s="6" t="s">
        <v>137</v>
      </c>
    </row>
    <row r="582" spans="1:4">
      <c r="A582" s="5" t="s">
        <v>749</v>
      </c>
      <c r="B582" s="5">
        <v>9.06</v>
      </c>
      <c r="C582" s="5">
        <v>0.341</v>
      </c>
      <c r="D582" s="6" t="s">
        <v>138</v>
      </c>
    </row>
    <row r="583" spans="1:4">
      <c r="A583" s="9" t="s">
        <v>750</v>
      </c>
      <c r="B583" s="5">
        <v>28</v>
      </c>
      <c r="C583" s="5">
        <v>0.834</v>
      </c>
      <c r="D583" s="6" t="s">
        <v>137</v>
      </c>
    </row>
    <row r="584" spans="1:4">
      <c r="A584" s="5" t="s">
        <v>751</v>
      </c>
      <c r="B584" s="5">
        <v>45.8</v>
      </c>
      <c r="C584" s="5">
        <v>0.985</v>
      </c>
      <c r="D584" s="6" t="s">
        <v>138</v>
      </c>
    </row>
    <row r="585" spans="1:4">
      <c r="A585" s="5" t="s">
        <v>752</v>
      </c>
      <c r="B585" s="5">
        <v>28.17</v>
      </c>
      <c r="C585" s="5">
        <v>0.96</v>
      </c>
      <c r="D585" s="6" t="s">
        <v>137</v>
      </c>
    </row>
    <row r="586" spans="1:4">
      <c r="A586" s="5" t="s">
        <v>753</v>
      </c>
      <c r="B586" s="5">
        <v>7</v>
      </c>
      <c r="C586" s="5">
        <v>0.236</v>
      </c>
      <c r="D586" s="6" t="s">
        <v>138</v>
      </c>
    </row>
    <row r="587" spans="1:4">
      <c r="A587" s="5" t="s">
        <v>754</v>
      </c>
      <c r="B587" s="5">
        <v>9.47</v>
      </c>
      <c r="C587" s="5">
        <v>0.314</v>
      </c>
      <c r="D587" s="6" t="s">
        <v>138</v>
      </c>
    </row>
    <row r="588" spans="1:4">
      <c r="A588" s="5" t="s">
        <v>755</v>
      </c>
      <c r="B588" s="5">
        <v>47</v>
      </c>
      <c r="C588" s="5">
        <v>1.317</v>
      </c>
      <c r="D588" s="6" t="s">
        <v>137</v>
      </c>
    </row>
    <row r="589" spans="1:4">
      <c r="A589" s="5" t="s">
        <v>756</v>
      </c>
      <c r="B589" s="5">
        <v>8.3</v>
      </c>
      <c r="C589" s="5">
        <v>0.4</v>
      </c>
      <c r="D589" s="6" t="s">
        <v>137</v>
      </c>
    </row>
    <row r="590" spans="1:4">
      <c r="A590" s="5" t="s">
        <v>757</v>
      </c>
      <c r="B590" s="5">
        <v>6.313</v>
      </c>
      <c r="C590" s="5">
        <v>0.101</v>
      </c>
      <c r="D590" s="6" t="s">
        <v>137</v>
      </c>
    </row>
    <row r="591" spans="1:4">
      <c r="A591" s="5" t="s">
        <v>758</v>
      </c>
      <c r="B591" s="5">
        <v>2.31</v>
      </c>
      <c r="C591" s="5">
        <v>0.194</v>
      </c>
      <c r="D591" s="6" t="s">
        <v>137</v>
      </c>
    </row>
    <row r="592" spans="1:4">
      <c r="A592" s="5" t="s">
        <v>759</v>
      </c>
      <c r="B592" s="5">
        <v>7.95</v>
      </c>
      <c r="C592" s="5">
        <v>0.239</v>
      </c>
      <c r="D592" s="6" t="s">
        <v>137</v>
      </c>
    </row>
    <row r="593" spans="1:4">
      <c r="A593" s="5" t="s">
        <v>760</v>
      </c>
      <c r="B593" s="5">
        <v>30.6</v>
      </c>
      <c r="C593" s="5">
        <v>0.461</v>
      </c>
      <c r="D593" s="6" t="s">
        <v>137</v>
      </c>
    </row>
    <row r="594" spans="1:4">
      <c r="A594" s="5" t="s">
        <v>761</v>
      </c>
      <c r="B594" s="5">
        <v>35.7</v>
      </c>
      <c r="C594" s="5">
        <v>1.079</v>
      </c>
      <c r="D594" s="6" t="s">
        <v>137</v>
      </c>
    </row>
    <row r="595" spans="1:4">
      <c r="A595" s="5" t="s">
        <v>762</v>
      </c>
      <c r="B595" s="5">
        <v>16.1</v>
      </c>
      <c r="C595" s="5">
        <v>0.706</v>
      </c>
      <c r="D595" s="6" t="s">
        <v>137</v>
      </c>
    </row>
    <row r="596" spans="1:4">
      <c r="A596" s="5" t="s">
        <v>763</v>
      </c>
      <c r="B596" s="5">
        <v>85.03</v>
      </c>
      <c r="C596" s="5">
        <v>1.9</v>
      </c>
      <c r="D596" s="6" t="s">
        <v>137</v>
      </c>
    </row>
    <row r="597" spans="1:4">
      <c r="A597" s="5" t="s">
        <v>764</v>
      </c>
      <c r="B597" s="5">
        <v>33.5</v>
      </c>
      <c r="C597" s="5">
        <v>0.832</v>
      </c>
      <c r="D597" s="6" t="s">
        <v>137</v>
      </c>
    </row>
    <row r="598" spans="1:4">
      <c r="A598" s="5" t="s">
        <v>765</v>
      </c>
      <c r="B598" s="5">
        <v>3.14</v>
      </c>
      <c r="C598" s="5">
        <v>0.116</v>
      </c>
      <c r="D598" s="6" t="s">
        <v>137</v>
      </c>
    </row>
    <row r="599" spans="1:4">
      <c r="A599" s="5" t="s">
        <v>766</v>
      </c>
      <c r="B599" s="5">
        <v>35.4</v>
      </c>
      <c r="C599" s="5">
        <v>0.6</v>
      </c>
      <c r="D599" s="6" t="s">
        <v>138</v>
      </c>
    </row>
    <row r="600" spans="1:4">
      <c r="A600" s="5" t="s">
        <v>767</v>
      </c>
      <c r="B600" s="5">
        <v>27.9</v>
      </c>
      <c r="C600" s="5">
        <v>0.4</v>
      </c>
      <c r="D600" s="6" t="s">
        <v>138</v>
      </c>
    </row>
    <row r="601" spans="1:4">
      <c r="A601" s="5" t="s">
        <v>768</v>
      </c>
      <c r="B601" s="5">
        <v>19.74</v>
      </c>
      <c r="C601" s="5">
        <v>0.519</v>
      </c>
      <c r="D601" s="6" t="s">
        <v>138</v>
      </c>
    </row>
    <row r="602" spans="1:4">
      <c r="A602" s="5" t="s">
        <v>769</v>
      </c>
      <c r="B602" s="5">
        <v>52.2</v>
      </c>
      <c r="C602" s="5">
        <v>1.228</v>
      </c>
      <c r="D602" s="6" t="s">
        <v>137</v>
      </c>
    </row>
    <row r="603" spans="1:4">
      <c r="A603" s="5" t="s">
        <v>770</v>
      </c>
      <c r="B603" s="5">
        <v>5.9</v>
      </c>
      <c r="C603" s="5">
        <v>0.31</v>
      </c>
      <c r="D603" s="6" t="s">
        <v>137</v>
      </c>
    </row>
    <row r="604" spans="1:4">
      <c r="A604" s="5" t="s">
        <v>771</v>
      </c>
      <c r="B604" s="5">
        <v>10.21</v>
      </c>
      <c r="C604" s="5">
        <v>0.28</v>
      </c>
      <c r="D604" s="6" t="s">
        <v>137</v>
      </c>
    </row>
    <row r="605" spans="1:4">
      <c r="A605" s="5" t="s">
        <v>772</v>
      </c>
      <c r="B605" s="5">
        <v>7.85</v>
      </c>
      <c r="C605" s="5">
        <v>0.22</v>
      </c>
      <c r="D605" s="6" t="s">
        <v>137</v>
      </c>
    </row>
    <row r="606" spans="1:4">
      <c r="A606" s="5" t="s">
        <v>773</v>
      </c>
      <c r="B606" s="5">
        <v>14.5</v>
      </c>
      <c r="C606" s="5">
        <v>0.359</v>
      </c>
      <c r="D606" s="6" t="s">
        <v>138</v>
      </c>
    </row>
    <row r="607" spans="1:4">
      <c r="A607" s="5" t="s">
        <v>774</v>
      </c>
      <c r="B607" s="5">
        <v>17.663</v>
      </c>
      <c r="C607" s="5">
        <v>0.45</v>
      </c>
      <c r="D607" s="6" t="s">
        <v>138</v>
      </c>
    </row>
    <row r="608" spans="1:4">
      <c r="A608" s="5" t="s">
        <v>775</v>
      </c>
      <c r="B608" s="5">
        <v>57.8</v>
      </c>
      <c r="C608" s="5">
        <v>1.733</v>
      </c>
      <c r="D608" s="6" t="s">
        <v>137</v>
      </c>
    </row>
    <row r="609" spans="1:4">
      <c r="A609" s="5" t="s">
        <v>776</v>
      </c>
      <c r="B609" s="5">
        <v>1.18</v>
      </c>
      <c r="C609" s="5">
        <v>0.106</v>
      </c>
      <c r="D609" s="6" t="s">
        <v>137</v>
      </c>
    </row>
    <row r="610" spans="1:4">
      <c r="A610" s="5" t="s">
        <v>777</v>
      </c>
      <c r="B610" s="5">
        <v>19.73</v>
      </c>
      <c r="C610" s="5">
        <v>0.519</v>
      </c>
      <c r="D610" s="6" t="s">
        <v>138</v>
      </c>
    </row>
    <row r="611" spans="1:4">
      <c r="A611" s="5" t="s">
        <v>778</v>
      </c>
      <c r="B611" s="5">
        <v>11.72</v>
      </c>
      <c r="C611" s="5">
        <v>0.314</v>
      </c>
      <c r="D611" s="6" t="s">
        <v>138</v>
      </c>
    </row>
    <row r="612" spans="1:4">
      <c r="A612" s="5" t="s">
        <v>779</v>
      </c>
      <c r="B612" s="5">
        <v>4.29</v>
      </c>
      <c r="C612" s="5"/>
      <c r="D612" s="6" t="s">
        <v>135</v>
      </c>
    </row>
    <row r="613" spans="1:4">
      <c r="A613" s="5"/>
      <c r="B613" s="5"/>
      <c r="C613" s="5"/>
      <c r="D613" s="6"/>
    </row>
    <row r="614" spans="1:4">
      <c r="A614" s="5"/>
      <c r="B614" s="5"/>
      <c r="C614" s="5"/>
      <c r="D614" s="6"/>
    </row>
    <row r="615" spans="1:4">
      <c r="A615" s="5"/>
      <c r="B615" s="5"/>
      <c r="C615" s="5"/>
      <c r="D615" s="6"/>
    </row>
    <row r="616" spans="1:4">
      <c r="A616" s="5"/>
      <c r="B616" s="5"/>
      <c r="C616" s="5"/>
      <c r="D616" s="6"/>
    </row>
    <row r="617" spans="1:4">
      <c r="A617" s="5"/>
      <c r="B617" s="5"/>
      <c r="C617" s="5"/>
      <c r="D617" s="6"/>
    </row>
    <row r="618" spans="1:4">
      <c r="A618" s="5"/>
      <c r="B618" s="5"/>
      <c r="C618" s="5"/>
      <c r="D618" s="6"/>
    </row>
    <row r="619" spans="1:4">
      <c r="A619" s="5"/>
      <c r="B619" s="5"/>
      <c r="C619" s="5"/>
      <c r="D619" s="6"/>
    </row>
    <row r="620" spans="1:4">
      <c r="A620" s="5"/>
      <c r="B620" s="5"/>
      <c r="C620" s="5"/>
      <c r="D620" s="6"/>
    </row>
    <row r="621" spans="1:4">
      <c r="A621" s="5"/>
      <c r="B621" s="5"/>
      <c r="C621" s="5"/>
      <c r="D621" s="6"/>
    </row>
    <row r="622" spans="1:4">
      <c r="A622" s="5"/>
      <c r="B622" s="5"/>
      <c r="C622" s="5"/>
      <c r="D622" s="6"/>
    </row>
    <row r="623" spans="1:4">
      <c r="A623" s="5"/>
      <c r="B623" s="5"/>
      <c r="C623" s="5"/>
      <c r="D623" s="6"/>
    </row>
    <row r="624" spans="1:4">
      <c r="A624" s="5"/>
      <c r="B624" s="5"/>
      <c r="C624" s="5"/>
      <c r="D624" s="6"/>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4</vt:i4>
      </vt:variant>
    </vt:vector>
  </HeadingPairs>
  <TitlesOfParts>
    <vt:vector size="4" baseType="lpstr">
      <vt:lpstr>Summary</vt:lpstr>
      <vt:lpstr>Pivot Sum</vt:lpstr>
      <vt:lpstr>Takeoff</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dc:creator>
  <cp:lastModifiedBy>Rolando F. Gono Jr</cp:lastModifiedBy>
  <dcterms:created xsi:type="dcterms:W3CDTF">2017-10-19T06:20:00Z</dcterms:created>
  <dcterms:modified xsi:type="dcterms:W3CDTF">2017-12-13T12:50:34Z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y fmtid="{D5CDD505-2E9C-101B-9397-08002B2CF9AE}" pid="3" name="KSOProductBuildVer">
    <vt:lpwstr>1033-10.2.0.5978</vt:lpwstr>
  </property>
</Properties>
</file>