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Nishat\KAIS\New Accounts for KIAS\"/>
    </mc:Choice>
  </mc:AlternateContent>
  <bookViews>
    <workbookView xWindow="0" yWindow="0" windowWidth="20460" windowHeight="7680" tabRatio="617" activeTab="1"/>
  </bookViews>
  <sheets>
    <sheet name="Journal Voucher" sheetId="8" r:id="rId1"/>
    <sheet name="Cash Book" sheetId="9" r:id="rId2"/>
    <sheet name="Sheet3" sheetId="14" r:id="rId3"/>
    <sheet name="Sheet1" sheetId="13" r:id="rId4"/>
    <sheet name="Cash &amp; Cash Equavalent" sheetId="11" r:id="rId5"/>
    <sheet name="Sheet2" sheetId="10" state="hidden" r:id="rId6"/>
    <sheet name="Bank Book" sheetId="2" r:id="rId7"/>
    <sheet name="Bank Book (2)" sheetId="12" r:id="rId8"/>
  </sheets>
  <definedNames>
    <definedName name="_xlnm._FilterDatabase" localSheetId="6" hidden="1">'Bank Book'!$A$142:$AB$153</definedName>
    <definedName name="_xlnm._FilterDatabase" localSheetId="7" hidden="1">'Bank Book (2)'!$A$142:$AB$153</definedName>
    <definedName name="_xlnm._FilterDatabase" localSheetId="1" hidden="1">'Cash Book'!$A$2:$GD$42</definedName>
    <definedName name="_xlnm._FilterDatabase" localSheetId="0" hidden="1">'Journal Voucher'!#REF!</definedName>
    <definedName name="_xlnm.Print_Area" localSheetId="0">'Journal Voucher'!$A$508:$C$542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94" i="9" l="1"/>
  <c r="BM1491" i="9" l="1"/>
  <c r="E1491" i="9"/>
  <c r="GG1491" i="9" l="1"/>
  <c r="CW1491" i="9" l="1"/>
  <c r="CV1491" i="9"/>
  <c r="CU1491" i="9"/>
  <c r="CT1491" i="9"/>
  <c r="I6" i="14" l="1"/>
  <c r="I5" i="14"/>
  <c r="G5" i="14"/>
  <c r="CQ1489" i="9" l="1"/>
  <c r="CQ1491" i="9" l="1"/>
  <c r="HI1491" i="9" l="1"/>
  <c r="F10" i="13" l="1"/>
  <c r="D10" i="13"/>
  <c r="B10" i="13"/>
  <c r="D2" i="13"/>
  <c r="D3" i="13"/>
  <c r="D4" i="13"/>
  <c r="D5" i="13"/>
  <c r="D6" i="13"/>
  <c r="D7" i="13"/>
  <c r="D8" i="13"/>
  <c r="D9" i="13"/>
  <c r="D1" i="13"/>
  <c r="DD1491" i="9" l="1"/>
  <c r="CP1491" i="9" l="1"/>
  <c r="E1327" i="9" l="1"/>
  <c r="F1491" i="9" l="1"/>
  <c r="G1491" i="9"/>
  <c r="H1491" i="9"/>
  <c r="I1491" i="9"/>
  <c r="J1491" i="9"/>
  <c r="K1491" i="9"/>
  <c r="L1491" i="9"/>
  <c r="M1491" i="9"/>
  <c r="N1491" i="9"/>
  <c r="O1491" i="9"/>
  <c r="P1491" i="9"/>
  <c r="Q1491" i="9"/>
  <c r="R1491" i="9"/>
  <c r="S1491" i="9"/>
  <c r="T1491" i="9"/>
  <c r="U1491" i="9"/>
  <c r="V1491" i="9"/>
  <c r="W1491" i="9"/>
  <c r="X1491" i="9"/>
  <c r="Y1491" i="9"/>
  <c r="Z1491" i="9"/>
  <c r="AA1491" i="9"/>
  <c r="AB1491" i="9"/>
  <c r="AC1491" i="9"/>
  <c r="AD1491" i="9"/>
  <c r="AE1491" i="9"/>
  <c r="AF1491" i="9"/>
  <c r="AG1491" i="9"/>
  <c r="AH1491" i="9"/>
  <c r="AI1491" i="9"/>
  <c r="AJ1491" i="9"/>
  <c r="D1491" i="9"/>
  <c r="DC1491" i="9" l="1"/>
  <c r="E1381" i="9" l="1"/>
  <c r="C1381" i="9"/>
  <c r="E1362" i="9" l="1"/>
  <c r="C1362" i="9"/>
  <c r="DO1491" i="9"/>
  <c r="C1355" i="9" l="1"/>
  <c r="E1339" i="9" l="1"/>
  <c r="C1339" i="9"/>
  <c r="GO1329" i="9" l="1"/>
  <c r="C1332" i="9"/>
  <c r="C1491" i="9" s="1"/>
  <c r="C208" i="2" l="1"/>
  <c r="C1285" i="9" l="1"/>
  <c r="C1327" i="9" l="1"/>
  <c r="GW1494" i="9"/>
  <c r="GH1327" i="9" l="1"/>
  <c r="GK1327" i="9" l="1"/>
  <c r="GL1327" i="9"/>
  <c r="GM1327" i="9"/>
  <c r="GN1327" i="9"/>
  <c r="GO1327" i="9"/>
  <c r="GP1327" i="9"/>
  <c r="GR1327" i="9"/>
  <c r="GS1327" i="9"/>
  <c r="GT1327" i="9"/>
  <c r="GU1327" i="9"/>
  <c r="GV1327" i="9"/>
  <c r="GW1327" i="9"/>
  <c r="GX1327" i="9"/>
  <c r="GY1327" i="9"/>
  <c r="GZ1327" i="9"/>
  <c r="HA1327" i="9"/>
  <c r="HB1327" i="9"/>
  <c r="HC1327" i="9"/>
  <c r="HD1327" i="9"/>
  <c r="HE1327" i="9"/>
  <c r="HF1327" i="9"/>
  <c r="HG1327" i="9"/>
  <c r="GJ1327" i="9"/>
  <c r="AG1327" i="9" l="1"/>
  <c r="AB193" i="12" l="1"/>
  <c r="AA193" i="12"/>
  <c r="Z193" i="12"/>
  <c r="Y193" i="12"/>
  <c r="X193" i="12"/>
  <c r="W193" i="12"/>
  <c r="V193" i="12"/>
  <c r="U193" i="12"/>
  <c r="T193" i="12"/>
  <c r="S193" i="12"/>
  <c r="R193" i="12"/>
  <c r="Q193" i="12"/>
  <c r="P193" i="12"/>
  <c r="O193" i="12"/>
  <c r="N193" i="12"/>
  <c r="M193" i="12"/>
  <c r="L193" i="12"/>
  <c r="K193" i="12"/>
  <c r="J193" i="12"/>
  <c r="I193" i="12"/>
  <c r="H193" i="12"/>
  <c r="G193" i="12"/>
  <c r="F193" i="12"/>
  <c r="E193" i="12"/>
  <c r="D193" i="12"/>
  <c r="C193" i="12"/>
  <c r="AB181" i="12"/>
  <c r="U181" i="12"/>
  <c r="R181" i="12"/>
  <c r="Q181" i="12"/>
  <c r="P181" i="12"/>
  <c r="O181" i="12"/>
  <c r="N181" i="12"/>
  <c r="M181" i="12"/>
  <c r="L181" i="12"/>
  <c r="K181" i="12"/>
  <c r="J181" i="12"/>
  <c r="I181" i="12"/>
  <c r="H181" i="12"/>
  <c r="G181" i="12"/>
  <c r="F181" i="12"/>
  <c r="E181" i="12"/>
  <c r="D181" i="12"/>
  <c r="AB155" i="12"/>
  <c r="R155" i="12"/>
  <c r="Q155" i="12"/>
  <c r="P155" i="12"/>
  <c r="O155" i="12"/>
  <c r="N155" i="12"/>
  <c r="M155" i="12"/>
  <c r="L155" i="12"/>
  <c r="K155" i="12"/>
  <c r="J155" i="12"/>
  <c r="I155" i="12"/>
  <c r="H155" i="12"/>
  <c r="G155" i="12"/>
  <c r="F155" i="12"/>
  <c r="E155" i="12"/>
  <c r="AB138" i="12"/>
  <c r="R138" i="12"/>
  <c r="Q138" i="12"/>
  <c r="P138" i="12"/>
  <c r="O138" i="12"/>
  <c r="N138" i="12"/>
  <c r="M138" i="12"/>
  <c r="L138" i="12"/>
  <c r="K138" i="12"/>
  <c r="J138" i="12"/>
  <c r="I138" i="12"/>
  <c r="H138" i="12"/>
  <c r="G138" i="12"/>
  <c r="F138" i="12"/>
  <c r="E138" i="12"/>
  <c r="R117" i="12"/>
  <c r="Q117" i="12"/>
  <c r="P117" i="12"/>
  <c r="O117" i="12"/>
  <c r="N117" i="12"/>
  <c r="M117" i="12"/>
  <c r="L117" i="12"/>
  <c r="K117" i="12"/>
  <c r="J117" i="12"/>
  <c r="I117" i="12"/>
  <c r="H117" i="12"/>
  <c r="G117" i="12"/>
  <c r="F117" i="12"/>
  <c r="E117" i="12"/>
  <c r="T94" i="12"/>
  <c r="T99" i="12" s="1"/>
  <c r="T117" i="12" s="1"/>
  <c r="T123" i="12" s="1"/>
  <c r="T138" i="12" s="1"/>
  <c r="T143" i="12" s="1"/>
  <c r="T155" i="12" s="1"/>
  <c r="T162" i="12" s="1"/>
  <c r="T181" i="12" s="1"/>
  <c r="S94" i="12"/>
  <c r="S99" i="12" s="1"/>
  <c r="S117" i="12" s="1"/>
  <c r="S123" i="12" s="1"/>
  <c r="S138" i="12" s="1"/>
  <c r="S143" i="12" s="1"/>
  <c r="S155" i="12" s="1"/>
  <c r="S162" i="12" s="1"/>
  <c r="S181" i="12" s="1"/>
  <c r="R94" i="12"/>
  <c r="Q94" i="12"/>
  <c r="P94" i="12"/>
  <c r="O94" i="12"/>
  <c r="N94" i="12"/>
  <c r="M94" i="12"/>
  <c r="L94" i="12"/>
  <c r="K94" i="12"/>
  <c r="J94" i="12"/>
  <c r="I94" i="12"/>
  <c r="G94" i="12"/>
  <c r="F94" i="12"/>
  <c r="E94" i="12"/>
  <c r="R74" i="12"/>
  <c r="Q74" i="12"/>
  <c r="P74" i="12"/>
  <c r="O74" i="12"/>
  <c r="M74" i="12"/>
  <c r="L74" i="12"/>
  <c r="K74" i="12"/>
  <c r="J74" i="12"/>
  <c r="I74" i="12"/>
  <c r="G74" i="12"/>
  <c r="F74" i="12"/>
  <c r="Y73" i="12"/>
  <c r="AA66" i="12"/>
  <c r="AA70" i="12" s="1"/>
  <c r="AA74" i="12" s="1"/>
  <c r="AA80" i="12" s="1"/>
  <c r="AA94" i="12" s="1"/>
  <c r="AA99" i="12" s="1"/>
  <c r="AA117" i="12" s="1"/>
  <c r="AA123" i="12" s="1"/>
  <c r="AA138" i="12" s="1"/>
  <c r="AA143" i="12" s="1"/>
  <c r="AA155" i="12" s="1"/>
  <c r="AA162" i="12" s="1"/>
  <c r="AA181" i="12" s="1"/>
  <c r="Z66" i="12"/>
  <c r="Z70" i="12" s="1"/>
  <c r="Z74" i="12" s="1"/>
  <c r="Z80" i="12" s="1"/>
  <c r="Z94" i="12" s="1"/>
  <c r="Z99" i="12" s="1"/>
  <c r="Z117" i="12" s="1"/>
  <c r="Z123" i="12" s="1"/>
  <c r="Z138" i="12" s="1"/>
  <c r="Z143" i="12" s="1"/>
  <c r="Z155" i="12" s="1"/>
  <c r="Z162" i="12" s="1"/>
  <c r="Z181" i="12" s="1"/>
  <c r="R66" i="12"/>
  <c r="Q66" i="12"/>
  <c r="P66" i="12"/>
  <c r="O66" i="12"/>
  <c r="M66" i="12"/>
  <c r="L66" i="12"/>
  <c r="K66" i="12"/>
  <c r="J66" i="12"/>
  <c r="I66" i="12"/>
  <c r="G66" i="12"/>
  <c r="F66" i="12"/>
  <c r="Y54" i="12"/>
  <c r="Y60" i="12" s="1"/>
  <c r="Y66" i="12" s="1"/>
  <c r="Y70" i="12" s="1"/>
  <c r="Y74" i="12" s="1"/>
  <c r="Y80" i="12" s="1"/>
  <c r="Y94" i="12" s="1"/>
  <c r="Y99" i="12" s="1"/>
  <c r="Y117" i="12" s="1"/>
  <c r="Y123" i="12" s="1"/>
  <c r="Y138" i="12" s="1"/>
  <c r="Y143" i="12" s="1"/>
  <c r="Y155" i="12" s="1"/>
  <c r="Y162" i="12" s="1"/>
  <c r="Y181" i="12" s="1"/>
  <c r="X54" i="12"/>
  <c r="X60" i="12" s="1"/>
  <c r="X66" i="12" s="1"/>
  <c r="X70" i="12" s="1"/>
  <c r="X74" i="12" s="1"/>
  <c r="X80" i="12" s="1"/>
  <c r="X94" i="12" s="1"/>
  <c r="X99" i="12" s="1"/>
  <c r="X117" i="12" s="1"/>
  <c r="X123" i="12" s="1"/>
  <c r="X138" i="12" s="1"/>
  <c r="X143" i="12" s="1"/>
  <c r="X155" i="12" s="1"/>
  <c r="X162" i="12" s="1"/>
  <c r="X181" i="12" s="1"/>
  <c r="R54" i="12"/>
  <c r="Q54" i="12"/>
  <c r="P54" i="12"/>
  <c r="O54" i="12"/>
  <c r="M54" i="12"/>
  <c r="L54" i="12"/>
  <c r="K54" i="12"/>
  <c r="J54" i="12"/>
  <c r="I54" i="12"/>
  <c r="G54" i="12"/>
  <c r="F54" i="12"/>
  <c r="W38" i="12"/>
  <c r="W41" i="12" s="1"/>
  <c r="W54" i="12" s="1"/>
  <c r="W60" i="12" s="1"/>
  <c r="W66" i="12" s="1"/>
  <c r="W70" i="12" s="1"/>
  <c r="W74" i="12" s="1"/>
  <c r="W80" i="12" s="1"/>
  <c r="W94" i="12" s="1"/>
  <c r="W99" i="12" s="1"/>
  <c r="W117" i="12" s="1"/>
  <c r="W123" i="12" s="1"/>
  <c r="W138" i="12" s="1"/>
  <c r="W143" i="12" s="1"/>
  <c r="W155" i="12" s="1"/>
  <c r="W162" i="12" s="1"/>
  <c r="W181" i="12" s="1"/>
  <c r="V38" i="12"/>
  <c r="V41" i="12" s="1"/>
  <c r="V54" i="12" s="1"/>
  <c r="V60" i="12" s="1"/>
  <c r="V66" i="12" s="1"/>
  <c r="V70" i="12" s="1"/>
  <c r="V74" i="12" s="1"/>
  <c r="V80" i="12" s="1"/>
  <c r="V94" i="12" s="1"/>
  <c r="V99" i="12" s="1"/>
  <c r="V117" i="12" s="1"/>
  <c r="V123" i="12" s="1"/>
  <c r="V138" i="12" s="1"/>
  <c r="V143" i="12" s="1"/>
  <c r="V155" i="12" s="1"/>
  <c r="V162" i="12" s="1"/>
  <c r="V181" i="12" s="1"/>
  <c r="R38" i="12"/>
  <c r="P38" i="12"/>
  <c r="M38" i="12"/>
  <c r="L38" i="12"/>
  <c r="J38" i="12"/>
  <c r="I38" i="12"/>
  <c r="F38" i="12"/>
  <c r="R34" i="12"/>
  <c r="AB27" i="12"/>
  <c r="AA27" i="12"/>
  <c r="Z27" i="12"/>
  <c r="Y27" i="12"/>
  <c r="X27" i="12"/>
  <c r="W27" i="12"/>
  <c r="V27" i="12"/>
  <c r="T27" i="12"/>
  <c r="S27" i="12"/>
  <c r="R27" i="12"/>
  <c r="Q27" i="12"/>
  <c r="P27" i="12"/>
  <c r="O27" i="12"/>
  <c r="N27" i="12"/>
  <c r="L27" i="12"/>
  <c r="J27" i="12"/>
  <c r="I27" i="12"/>
  <c r="H27" i="12"/>
  <c r="G27" i="12"/>
  <c r="F27" i="12"/>
  <c r="E27" i="12"/>
  <c r="C26" i="12"/>
  <c r="M24" i="12"/>
  <c r="M23" i="12"/>
  <c r="M27" i="12" s="1"/>
  <c r="R11" i="12"/>
  <c r="P11" i="12"/>
  <c r="M11" i="12"/>
  <c r="L11" i="12"/>
  <c r="K11" i="12"/>
  <c r="K14" i="12" s="1"/>
  <c r="K27" i="12" s="1"/>
  <c r="K31" i="12" s="1"/>
  <c r="K38" i="12" s="1"/>
  <c r="J11" i="12"/>
  <c r="I11" i="12"/>
  <c r="F11" i="12"/>
  <c r="D11" i="12"/>
  <c r="D14" i="12" s="1"/>
  <c r="D27" i="12" s="1"/>
  <c r="D31" i="12" s="1"/>
  <c r="D38" i="12" s="1"/>
  <c r="D41" i="12" s="1"/>
  <c r="D54" i="12" s="1"/>
  <c r="D60" i="12" s="1"/>
  <c r="D66" i="12" s="1"/>
  <c r="D70" i="12" s="1"/>
  <c r="D74" i="12" s="1"/>
  <c r="D80" i="12" s="1"/>
  <c r="D94" i="12" s="1"/>
  <c r="D99" i="12" s="1"/>
  <c r="D117" i="12" s="1"/>
  <c r="D123" i="12" s="1"/>
  <c r="D138" i="12" s="1"/>
  <c r="D143" i="12" s="1"/>
  <c r="D155" i="12" s="1"/>
  <c r="C11" i="12"/>
  <c r="C14" i="12" s="1"/>
  <c r="C27" i="12" s="1"/>
  <c r="C31" i="12" s="1"/>
  <c r="C38" i="12" s="1"/>
  <c r="C41" i="12" s="1"/>
  <c r="C54" i="12" s="1"/>
  <c r="C60" i="12" s="1"/>
  <c r="C66" i="12" s="1"/>
  <c r="C70" i="12" s="1"/>
  <c r="C74" i="12" s="1"/>
  <c r="C80" i="12" s="1"/>
  <c r="C94" i="12" s="1"/>
  <c r="C99" i="12" s="1"/>
  <c r="C117" i="12" s="1"/>
  <c r="C123" i="12" s="1"/>
  <c r="C138" i="12" s="1"/>
  <c r="C143" i="12" s="1"/>
  <c r="C155" i="12" s="1"/>
  <c r="C162" i="12" s="1"/>
  <c r="C181" i="12" s="1"/>
  <c r="FR1233" i="9" l="1"/>
  <c r="GE1327" i="9" l="1"/>
  <c r="D1327" i="9" l="1"/>
  <c r="F1327" i="9"/>
  <c r="G1327" i="9"/>
  <c r="H1327" i="9"/>
  <c r="I1327" i="9"/>
  <c r="J1327" i="9"/>
  <c r="K1327" i="9"/>
  <c r="L1327" i="9"/>
  <c r="M1327" i="9"/>
  <c r="N1327" i="9"/>
  <c r="O1327" i="9"/>
  <c r="P1327" i="9"/>
  <c r="Q1327" i="9"/>
  <c r="R1327" i="9"/>
  <c r="S1327" i="9"/>
  <c r="T1327" i="9"/>
  <c r="U1327" i="9"/>
  <c r="V1327" i="9"/>
  <c r="W1327" i="9"/>
  <c r="X1327" i="9"/>
  <c r="Y1327" i="9"/>
  <c r="Z1327" i="9"/>
  <c r="AA1327" i="9"/>
  <c r="AB1327" i="9"/>
  <c r="AC1327" i="9"/>
  <c r="AD1327" i="9"/>
  <c r="AE1327" i="9"/>
  <c r="AF1327" i="9"/>
  <c r="AH1327" i="9"/>
  <c r="AI1327" i="9"/>
  <c r="AJ1327" i="9"/>
  <c r="AK1327" i="9"/>
  <c r="AK1491" i="9" s="1"/>
  <c r="AL1327" i="9"/>
  <c r="AL1491" i="9" s="1"/>
  <c r="AM1327" i="9"/>
  <c r="AN1327" i="9"/>
  <c r="AO1327" i="9"/>
  <c r="AP1327" i="9"/>
  <c r="AQ1327" i="9"/>
  <c r="AR1327" i="9"/>
  <c r="AS1327" i="9"/>
  <c r="AT1327" i="9"/>
  <c r="AU1327" i="9"/>
  <c r="AV1327" i="9"/>
  <c r="AW1327" i="9"/>
  <c r="AX1327" i="9"/>
  <c r="AY1327" i="9"/>
  <c r="AZ1327" i="9"/>
  <c r="BA1327" i="9"/>
  <c r="BB1327" i="9"/>
  <c r="BC1327" i="9"/>
  <c r="BD1327" i="9"/>
  <c r="BE1327" i="9"/>
  <c r="BF1327" i="9"/>
  <c r="BG1327" i="9"/>
  <c r="BH1327" i="9"/>
  <c r="BI1327" i="9"/>
  <c r="BJ1327" i="9"/>
  <c r="BK1327" i="9"/>
  <c r="BL1327" i="9"/>
  <c r="BM1327" i="9"/>
  <c r="BN1327" i="9"/>
  <c r="BO1327" i="9"/>
  <c r="BP1327" i="9"/>
  <c r="BQ1327" i="9"/>
  <c r="BR1327" i="9"/>
  <c r="BS1327" i="9"/>
  <c r="BT1327" i="9"/>
  <c r="BU1327" i="9"/>
  <c r="BV1327" i="9"/>
  <c r="BW1327" i="9"/>
  <c r="BX1327" i="9"/>
  <c r="BY1327" i="9"/>
  <c r="BZ1327" i="9"/>
  <c r="CA1327" i="9"/>
  <c r="CB1327" i="9"/>
  <c r="CC1327" i="9"/>
  <c r="CD1327" i="9"/>
  <c r="CE1327" i="9"/>
  <c r="CF1327" i="9"/>
  <c r="CG1327" i="9"/>
  <c r="CH1327" i="9"/>
  <c r="CI1327" i="9"/>
  <c r="CJ1327" i="9"/>
  <c r="CK1327" i="9"/>
  <c r="CL1327" i="9"/>
  <c r="CM1327" i="9"/>
  <c r="CN1327" i="9"/>
  <c r="CO1327" i="9"/>
  <c r="CR1327" i="9"/>
  <c r="CS1327" i="9"/>
  <c r="CT1327" i="9"/>
  <c r="CV1327" i="9"/>
  <c r="CW1327" i="9"/>
  <c r="CX1327" i="9"/>
  <c r="CY1327" i="9"/>
  <c r="CZ1327" i="9"/>
  <c r="DA1327" i="9"/>
  <c r="DB1327" i="9"/>
  <c r="DC1327" i="9"/>
  <c r="DD1327" i="9"/>
  <c r="DE1327" i="9"/>
  <c r="DF1327" i="9"/>
  <c r="DG1327" i="9"/>
  <c r="DI1327" i="9"/>
  <c r="DJ1327" i="9"/>
  <c r="DK1327" i="9"/>
  <c r="DL1327" i="9"/>
  <c r="DM1327" i="9"/>
  <c r="DN1327" i="9"/>
  <c r="DO1327" i="9"/>
  <c r="DP1327" i="9"/>
  <c r="DQ1327" i="9"/>
  <c r="DR1327" i="9"/>
  <c r="DS1327" i="9"/>
  <c r="DT1327" i="9"/>
  <c r="DU1327" i="9"/>
  <c r="DV1327" i="9"/>
  <c r="DW1327" i="9"/>
  <c r="DX1327" i="9"/>
  <c r="DY1327" i="9"/>
  <c r="DZ1327" i="9"/>
  <c r="EA1327" i="9"/>
  <c r="EB1327" i="9"/>
  <c r="EC1327" i="9"/>
  <c r="ED1327" i="9"/>
  <c r="EE1327" i="9"/>
  <c r="EF1327" i="9"/>
  <c r="EG1327" i="9"/>
  <c r="EH1327" i="9"/>
  <c r="EI1327" i="9"/>
  <c r="EJ1327" i="9"/>
  <c r="EK1327" i="9"/>
  <c r="EL1327" i="9"/>
  <c r="EM1327" i="9"/>
  <c r="EN1327" i="9"/>
  <c r="EO1327" i="9"/>
  <c r="EP1327" i="9"/>
  <c r="EQ1327" i="9"/>
  <c r="ER1327" i="9"/>
  <c r="ES1327" i="9"/>
  <c r="ET1327" i="9"/>
  <c r="EU1327" i="9"/>
  <c r="EV1327" i="9"/>
  <c r="EW1327" i="9"/>
  <c r="EX1327" i="9"/>
  <c r="EY1327" i="9"/>
  <c r="EZ1327" i="9"/>
  <c r="FA1327" i="9"/>
  <c r="FB1327" i="9"/>
  <c r="FC1327" i="9"/>
  <c r="FD1327" i="9"/>
  <c r="FE1327" i="9"/>
  <c r="FF1327" i="9"/>
  <c r="FG1327" i="9"/>
  <c r="FH1327" i="9"/>
  <c r="FI1327" i="9"/>
  <c r="FJ1327" i="9"/>
  <c r="FK1327" i="9"/>
  <c r="FL1327" i="9"/>
  <c r="FM1327" i="9"/>
  <c r="FN1327" i="9"/>
  <c r="FO1327" i="9"/>
  <c r="FP1327" i="9"/>
  <c r="FQ1327" i="9"/>
  <c r="FR1327" i="9"/>
  <c r="FS1327" i="9"/>
  <c r="FT1327" i="9"/>
  <c r="FU1327" i="9"/>
  <c r="FV1327" i="9"/>
  <c r="FW1327" i="9"/>
  <c r="FX1327" i="9"/>
  <c r="FY1327" i="9"/>
  <c r="FZ1327" i="9"/>
  <c r="GA1327" i="9"/>
  <c r="GB1327" i="9"/>
  <c r="GC1327" i="9"/>
  <c r="GD1327" i="9"/>
  <c r="GF1327" i="9"/>
  <c r="FE1195" i="9" l="1"/>
  <c r="C1195" i="9"/>
  <c r="F1225" i="9" l="1"/>
  <c r="C1176" i="9" l="1"/>
  <c r="DP1176" i="9" l="1"/>
  <c r="FS1177" i="9" l="1"/>
  <c r="C1177" i="9"/>
  <c r="C1225" i="9" s="1"/>
  <c r="D1225" i="9" l="1"/>
  <c r="E1225" i="9"/>
  <c r="H1225" i="9"/>
  <c r="I1225" i="9"/>
  <c r="J1225" i="9"/>
  <c r="K1225" i="9"/>
  <c r="L1225" i="9"/>
  <c r="M1225" i="9"/>
  <c r="N1225" i="9"/>
  <c r="O1225" i="9"/>
  <c r="P1225" i="9"/>
  <c r="Q1225" i="9"/>
  <c r="R1225" i="9"/>
  <c r="S1225" i="9"/>
  <c r="T1225" i="9"/>
  <c r="U1225" i="9"/>
  <c r="V1225" i="9"/>
  <c r="W1225" i="9"/>
  <c r="X1225" i="9"/>
  <c r="Y1225" i="9"/>
  <c r="Z1225" i="9"/>
  <c r="AA1225" i="9"/>
  <c r="AB1225" i="9"/>
  <c r="AC1225" i="9"/>
  <c r="AD1225" i="9"/>
  <c r="AE1225" i="9"/>
  <c r="AF1225" i="9"/>
  <c r="AG1225" i="9"/>
  <c r="AH1225" i="9"/>
  <c r="AI1225" i="9"/>
  <c r="AJ1225" i="9"/>
  <c r="AK1225" i="9"/>
  <c r="AL1225" i="9"/>
  <c r="AM1225" i="9"/>
  <c r="AN1225" i="9"/>
  <c r="AO1225" i="9"/>
  <c r="AP1225" i="9"/>
  <c r="AQ1225" i="9"/>
  <c r="AR1225" i="9"/>
  <c r="AS1225" i="9"/>
  <c r="AT1225" i="9"/>
  <c r="AU1225" i="9"/>
  <c r="AV1225" i="9"/>
  <c r="AW1225" i="9"/>
  <c r="AX1225" i="9"/>
  <c r="AY1225" i="9"/>
  <c r="AZ1225" i="9"/>
  <c r="BA1225" i="9"/>
  <c r="BB1225" i="9"/>
  <c r="BC1225" i="9"/>
  <c r="BD1225" i="9"/>
  <c r="BE1225" i="9"/>
  <c r="BF1225" i="9"/>
  <c r="BG1225" i="9"/>
  <c r="BH1225" i="9"/>
  <c r="BI1225" i="9"/>
  <c r="BJ1225" i="9"/>
  <c r="BK1225" i="9"/>
  <c r="BL1225" i="9"/>
  <c r="BM1225" i="9"/>
  <c r="BN1225" i="9"/>
  <c r="BO1225" i="9"/>
  <c r="BP1225" i="9"/>
  <c r="BQ1225" i="9"/>
  <c r="BR1225" i="9"/>
  <c r="BS1225" i="9"/>
  <c r="BT1225" i="9"/>
  <c r="BU1225" i="9"/>
  <c r="BV1225" i="9"/>
  <c r="BW1225" i="9"/>
  <c r="BX1225" i="9"/>
  <c r="BY1225" i="9"/>
  <c r="BZ1225" i="9"/>
  <c r="CA1225" i="9"/>
  <c r="CB1225" i="9"/>
  <c r="CC1225" i="9"/>
  <c r="CD1225" i="9"/>
  <c r="CE1225" i="9"/>
  <c r="CF1225" i="9"/>
  <c r="CG1225" i="9"/>
  <c r="CH1225" i="9"/>
  <c r="CI1225" i="9"/>
  <c r="CJ1225" i="9"/>
  <c r="CK1225" i="9"/>
  <c r="CL1225" i="9"/>
  <c r="CM1225" i="9"/>
  <c r="CN1225" i="9"/>
  <c r="CO1225" i="9"/>
  <c r="CR1225" i="9"/>
  <c r="CS1225" i="9"/>
  <c r="CT1225" i="9"/>
  <c r="CV1225" i="9"/>
  <c r="CW1225" i="9"/>
  <c r="CX1225" i="9"/>
  <c r="CY1225" i="9"/>
  <c r="CZ1225" i="9"/>
  <c r="DA1225" i="9"/>
  <c r="DB1225" i="9"/>
  <c r="DC1225" i="9"/>
  <c r="DD1225" i="9"/>
  <c r="DE1225" i="9"/>
  <c r="DF1225" i="9"/>
  <c r="DG1225" i="9"/>
  <c r="DI1225" i="9"/>
  <c r="DJ1225" i="9"/>
  <c r="DK1225" i="9"/>
  <c r="DL1225" i="9"/>
  <c r="DM1225" i="9"/>
  <c r="DN1225" i="9"/>
  <c r="DO1225" i="9"/>
  <c r="DP1225" i="9"/>
  <c r="DQ1225" i="9"/>
  <c r="DR1225" i="9"/>
  <c r="DS1225" i="9"/>
  <c r="DT1225" i="9"/>
  <c r="DU1225" i="9"/>
  <c r="DV1225" i="9"/>
  <c r="DW1225" i="9"/>
  <c r="DX1225" i="9"/>
  <c r="DY1225" i="9"/>
  <c r="DZ1225" i="9"/>
  <c r="EA1225" i="9"/>
  <c r="EB1225" i="9"/>
  <c r="EC1225" i="9"/>
  <c r="ED1225" i="9"/>
  <c r="EE1225" i="9"/>
  <c r="EF1225" i="9"/>
  <c r="EG1225" i="9"/>
  <c r="EH1225" i="9"/>
  <c r="EI1225" i="9"/>
  <c r="EJ1225" i="9"/>
  <c r="EK1225" i="9"/>
  <c r="EL1225" i="9"/>
  <c r="EM1225" i="9"/>
  <c r="EN1225" i="9"/>
  <c r="EO1225" i="9"/>
  <c r="EP1225" i="9"/>
  <c r="EQ1225" i="9"/>
  <c r="ER1225" i="9"/>
  <c r="ES1225" i="9"/>
  <c r="ET1225" i="9"/>
  <c r="EU1225" i="9"/>
  <c r="EV1225" i="9"/>
  <c r="EW1225" i="9"/>
  <c r="EX1225" i="9"/>
  <c r="EY1225" i="9"/>
  <c r="EZ1225" i="9"/>
  <c r="FA1225" i="9"/>
  <c r="FB1225" i="9"/>
  <c r="FC1225" i="9"/>
  <c r="FD1225" i="9"/>
  <c r="FE1225" i="9"/>
  <c r="FF1225" i="9"/>
  <c r="FG1225" i="9"/>
  <c r="FH1225" i="9"/>
  <c r="FI1225" i="9"/>
  <c r="FJ1225" i="9"/>
  <c r="FK1225" i="9"/>
  <c r="FL1225" i="9"/>
  <c r="FM1225" i="9"/>
  <c r="FN1225" i="9"/>
  <c r="FO1225" i="9"/>
  <c r="FP1225" i="9"/>
  <c r="FQ1225" i="9"/>
  <c r="FR1225" i="9"/>
  <c r="FS1225" i="9"/>
  <c r="FT1225" i="9"/>
  <c r="FU1225" i="9"/>
  <c r="FV1225" i="9"/>
  <c r="FW1225" i="9"/>
  <c r="FX1225" i="9"/>
  <c r="FY1225" i="9"/>
  <c r="FZ1225" i="9"/>
  <c r="GA1225" i="9"/>
  <c r="GB1225" i="9"/>
  <c r="GC1225" i="9"/>
  <c r="GD1225" i="9"/>
  <c r="GF1225" i="9"/>
  <c r="GJ1225" i="9"/>
  <c r="GK1225" i="9"/>
  <c r="GL1225" i="9"/>
  <c r="GM1225" i="9"/>
  <c r="GN1225" i="9"/>
  <c r="GO1225" i="9"/>
  <c r="GP1225" i="9"/>
  <c r="GR1225" i="9"/>
  <c r="GS1225" i="9"/>
  <c r="GT1225" i="9"/>
  <c r="GU1225" i="9"/>
  <c r="GV1225" i="9"/>
  <c r="GW1225" i="9"/>
  <c r="GX1225" i="9"/>
  <c r="GY1225" i="9"/>
  <c r="GZ1225" i="9"/>
  <c r="HA1225" i="9"/>
  <c r="HB1225" i="9"/>
  <c r="HC1225" i="9"/>
  <c r="HD1225" i="9"/>
  <c r="HE1225" i="9"/>
  <c r="HF1225" i="9"/>
  <c r="HG1225" i="9"/>
  <c r="HH1225" i="9"/>
  <c r="HH1327" i="9" s="1"/>
  <c r="HH1491" i="9" s="1"/>
  <c r="HI1225" i="9"/>
  <c r="HI1327" i="9" s="1"/>
  <c r="HJ1225" i="9"/>
  <c r="HJ1327" i="9" s="1"/>
  <c r="HK1225" i="9"/>
  <c r="HK1327" i="9" s="1"/>
  <c r="HL1225" i="9"/>
  <c r="HL1327" i="9" s="1"/>
  <c r="HM1225" i="9"/>
  <c r="HM1327" i="9" s="1"/>
  <c r="HN1225" i="9"/>
  <c r="HN1327" i="9" s="1"/>
  <c r="HO1225" i="9"/>
  <c r="HO1327" i="9" s="1"/>
  <c r="HP1225" i="9"/>
  <c r="HP1327" i="9" s="1"/>
  <c r="HQ1225" i="9"/>
  <c r="HQ1327" i="9" s="1"/>
  <c r="HR1225" i="9"/>
  <c r="HR1327" i="9" s="1"/>
  <c r="HS1225" i="9"/>
  <c r="HS1327" i="9" s="1"/>
  <c r="HT1225" i="9"/>
  <c r="HT1327" i="9" s="1"/>
  <c r="HU1225" i="9"/>
  <c r="HU1327" i="9" s="1"/>
  <c r="HV1225" i="9"/>
  <c r="HV1327" i="9" s="1"/>
  <c r="HW1225" i="9"/>
  <c r="HW1327" i="9" s="1"/>
  <c r="HX1225" i="9"/>
  <c r="HX1327" i="9" s="1"/>
  <c r="HY1225" i="9"/>
  <c r="HY1327" i="9" s="1"/>
  <c r="HZ1225" i="9"/>
  <c r="HZ1327" i="9" s="1"/>
  <c r="IA1225" i="9"/>
  <c r="IA1327" i="9" s="1"/>
  <c r="IB1225" i="9"/>
  <c r="IB1327" i="9" s="1"/>
  <c r="IC1225" i="9"/>
  <c r="IC1327" i="9" s="1"/>
  <c r="ID1225" i="9"/>
  <c r="ID1327" i="9" s="1"/>
  <c r="IE1225" i="9"/>
  <c r="IE1327" i="9" s="1"/>
  <c r="AA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B208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U181" i="2"/>
  <c r="AB181" i="2"/>
  <c r="D181" i="2"/>
  <c r="FT1158" i="9"/>
  <c r="D1158" i="9"/>
  <c r="E1158" i="9"/>
  <c r="H1158" i="9"/>
  <c r="J1158" i="9"/>
  <c r="K1158" i="9"/>
  <c r="L1158" i="9"/>
  <c r="N1158" i="9"/>
  <c r="O1158" i="9"/>
  <c r="P1158" i="9"/>
  <c r="R1158" i="9"/>
  <c r="W1158" i="9"/>
  <c r="X1158" i="9"/>
  <c r="Z1158" i="9"/>
  <c r="AA1158" i="9"/>
  <c r="AD1158" i="9"/>
  <c r="AE1158" i="9"/>
  <c r="BN1158" i="9"/>
  <c r="BP1158" i="9"/>
  <c r="BQ1158" i="9"/>
  <c r="BR1158" i="9"/>
  <c r="BS1158" i="9"/>
  <c r="BT1158" i="9"/>
  <c r="BU1158" i="9"/>
  <c r="BV1158" i="9"/>
  <c r="BW1158" i="9"/>
  <c r="BX1158" i="9"/>
  <c r="BY1158" i="9"/>
  <c r="BZ1158" i="9"/>
  <c r="CA1158" i="9"/>
  <c r="CB1158" i="9"/>
  <c r="CC1158" i="9"/>
  <c r="CD1158" i="9"/>
  <c r="CE1158" i="9"/>
  <c r="CF1158" i="9"/>
  <c r="CG1158" i="9"/>
  <c r="CH1158" i="9"/>
  <c r="CI1158" i="9"/>
  <c r="CJ1158" i="9"/>
  <c r="CK1158" i="9"/>
  <c r="CL1158" i="9"/>
  <c r="CM1158" i="9"/>
  <c r="CN1158" i="9"/>
  <c r="CO1158" i="9"/>
  <c r="CR1158" i="9"/>
  <c r="CS1158" i="9"/>
  <c r="CT1158" i="9"/>
  <c r="CV1158" i="9"/>
  <c r="CW1158" i="9"/>
  <c r="CX1158" i="9"/>
  <c r="CY1158" i="9"/>
  <c r="CZ1158" i="9"/>
  <c r="DA1158" i="9"/>
  <c r="DB1158" i="9"/>
  <c r="DC1158" i="9"/>
  <c r="DD1158" i="9"/>
  <c r="DE1158" i="9"/>
  <c r="DF1158" i="9"/>
  <c r="DG1158" i="9"/>
  <c r="DI1158" i="9"/>
  <c r="DJ1158" i="9"/>
  <c r="DP1158" i="9"/>
  <c r="DQ1158" i="9"/>
  <c r="DR1158" i="9"/>
  <c r="DS1158" i="9"/>
  <c r="DT1158" i="9"/>
  <c r="DU1158" i="9"/>
  <c r="DV1158" i="9"/>
  <c r="DX1158" i="9"/>
  <c r="DY1158" i="9"/>
  <c r="EB1158" i="9"/>
  <c r="EC1158" i="9"/>
  <c r="ED1158" i="9"/>
  <c r="EE1158" i="9"/>
  <c r="EF1158" i="9"/>
  <c r="EH1158" i="9"/>
  <c r="EN1158" i="9"/>
  <c r="EO1158" i="9"/>
  <c r="EP1158" i="9"/>
  <c r="ET1158" i="9"/>
  <c r="EU1158" i="9"/>
  <c r="EV1158" i="9"/>
  <c r="EW1158" i="9"/>
  <c r="EX1158" i="9"/>
  <c r="EZ1158" i="9"/>
  <c r="FB1158" i="9"/>
  <c r="FD1158" i="9"/>
  <c r="FF1158" i="9"/>
  <c r="FG1158" i="9"/>
  <c r="FH1158" i="9"/>
  <c r="FI1158" i="9"/>
  <c r="FM1158" i="9"/>
  <c r="FN1158" i="9"/>
  <c r="FO1158" i="9"/>
  <c r="FP1158" i="9"/>
  <c r="FQ1158" i="9"/>
  <c r="FR1158" i="9"/>
  <c r="FS1158" i="9"/>
  <c r="FU1158" i="9"/>
  <c r="FV1158" i="9"/>
  <c r="FW1158" i="9"/>
  <c r="FX1158" i="9"/>
  <c r="FY1158" i="9"/>
  <c r="FZ1158" i="9"/>
  <c r="GC1158" i="9"/>
  <c r="GD1158" i="9"/>
  <c r="GF1158" i="9"/>
  <c r="GJ1158" i="9"/>
  <c r="GK1158" i="9"/>
  <c r="GL1158" i="9"/>
  <c r="GM1158" i="9"/>
  <c r="GN1158" i="9"/>
  <c r="GO1158" i="9"/>
  <c r="GP1158" i="9"/>
  <c r="GR1158" i="9"/>
  <c r="GS1158" i="9"/>
  <c r="GT1158" i="9"/>
  <c r="GU1158" i="9"/>
  <c r="GV1158" i="9"/>
  <c r="GW1158" i="9"/>
  <c r="GX1158" i="9"/>
  <c r="GY1158" i="9"/>
  <c r="GZ1158" i="9"/>
  <c r="HA1158" i="9"/>
  <c r="HB1158" i="9"/>
  <c r="HC1158" i="9"/>
  <c r="HD1158" i="9"/>
  <c r="HE1158" i="9"/>
  <c r="HF1158" i="9"/>
  <c r="HG1158" i="9"/>
  <c r="HH1158" i="9"/>
  <c r="HI1158" i="9"/>
  <c r="HJ1158" i="9"/>
  <c r="HK1158" i="9"/>
  <c r="HL1158" i="9"/>
  <c r="HM1158" i="9"/>
  <c r="HN1158" i="9"/>
  <c r="HO1158" i="9"/>
  <c r="HP1158" i="9"/>
  <c r="HQ1158" i="9"/>
  <c r="HR1158" i="9"/>
  <c r="HS1158" i="9"/>
  <c r="HT1158" i="9"/>
  <c r="HU1158" i="9"/>
  <c r="HV1158" i="9"/>
  <c r="HW1158" i="9"/>
  <c r="HX1158" i="9"/>
  <c r="HY1158" i="9"/>
  <c r="HZ1158" i="9"/>
  <c r="IA1158" i="9"/>
  <c r="IB1158" i="9"/>
  <c r="IC1158" i="9"/>
  <c r="ID1158" i="9"/>
  <c r="D11" i="2" l="1"/>
  <c r="D14" i="2" s="1"/>
  <c r="D27" i="2" s="1"/>
  <c r="D31" i="2" s="1"/>
  <c r="D38" i="2" s="1"/>
  <c r="D41" i="2" s="1"/>
  <c r="D54" i="2" s="1"/>
  <c r="D60" i="2" s="1"/>
  <c r="D66" i="2" s="1"/>
  <c r="D70" i="2" s="1"/>
  <c r="D74" i="2" s="1"/>
  <c r="D80" i="2" s="1"/>
  <c r="D94" i="2" s="1"/>
  <c r="D99" i="2" s="1"/>
  <c r="D117" i="2" s="1"/>
  <c r="D123" i="2" s="1"/>
  <c r="D138" i="2" s="1"/>
  <c r="D143" i="2" s="1"/>
  <c r="D155" i="2" s="1"/>
  <c r="EK1108" i="9" l="1"/>
  <c r="FE1109" i="9"/>
  <c r="FK1118" i="9"/>
  <c r="FK1158" i="9" s="1"/>
  <c r="ES1112" i="9"/>
  <c r="GA1116" i="9"/>
  <c r="GA1158" i="9" s="1"/>
  <c r="GB1117" i="9"/>
  <c r="EJ1120" i="9"/>
  <c r="ER1114" i="9"/>
  <c r="ER1158" i="9" s="1"/>
  <c r="DW1121" i="9"/>
  <c r="DW1158" i="9" s="1"/>
  <c r="EG1127" i="9"/>
  <c r="EG1158" i="9" s="1"/>
  <c r="FC1111" i="9"/>
  <c r="EQ1110" i="9"/>
  <c r="EQ1158" i="9" s="1"/>
  <c r="EM1119" i="9"/>
  <c r="EM1158" i="9" s="1"/>
  <c r="EA1113" i="9"/>
  <c r="EA1158" i="9" s="1"/>
  <c r="FA1111" i="9"/>
  <c r="FA1158" i="9" s="1"/>
  <c r="FL1115" i="9"/>
  <c r="EI1100" i="9" l="1"/>
  <c r="D1031" i="9"/>
  <c r="H1031" i="9"/>
  <c r="J1031" i="9"/>
  <c r="K1031" i="9"/>
  <c r="L1031" i="9"/>
  <c r="N1031" i="9"/>
  <c r="O1031" i="9"/>
  <c r="P1031" i="9"/>
  <c r="R1031" i="9"/>
  <c r="AT1031" i="9"/>
  <c r="BQ1031" i="9"/>
  <c r="BR1031" i="9"/>
  <c r="BS1031" i="9"/>
  <c r="BT1031" i="9"/>
  <c r="BU1031" i="9"/>
  <c r="BV1031" i="9"/>
  <c r="BW1031" i="9"/>
  <c r="BX1031" i="9"/>
  <c r="BY1031" i="9"/>
  <c r="BZ1031" i="9"/>
  <c r="CA1031" i="9"/>
  <c r="CB1031" i="9"/>
  <c r="CC1031" i="9"/>
  <c r="CD1031" i="9"/>
  <c r="CE1031" i="9"/>
  <c r="CF1031" i="9"/>
  <c r="CG1031" i="9"/>
  <c r="CH1031" i="9"/>
  <c r="CI1031" i="9"/>
  <c r="CJ1031" i="9"/>
  <c r="CK1031" i="9"/>
  <c r="CL1031" i="9"/>
  <c r="CM1031" i="9"/>
  <c r="CN1031" i="9"/>
  <c r="CO1031" i="9"/>
  <c r="CR1031" i="9"/>
  <c r="CT1031" i="9"/>
  <c r="CV1031" i="9"/>
  <c r="CW1031" i="9"/>
  <c r="CX1031" i="9"/>
  <c r="CY1031" i="9"/>
  <c r="CZ1031" i="9"/>
  <c r="DA1031" i="9"/>
  <c r="DB1031" i="9"/>
  <c r="DC1031" i="9"/>
  <c r="DD1031" i="9"/>
  <c r="DE1031" i="9"/>
  <c r="DF1031" i="9"/>
  <c r="DG1031" i="9"/>
  <c r="DI1031" i="9"/>
  <c r="DJ1031" i="9"/>
  <c r="DP1031" i="9"/>
  <c r="DQ1031" i="9"/>
  <c r="DR1031" i="9"/>
  <c r="DS1031" i="9"/>
  <c r="DT1031" i="9"/>
  <c r="DU1031" i="9"/>
  <c r="DV1031" i="9"/>
  <c r="DW1031" i="9"/>
  <c r="DX1031" i="9"/>
  <c r="DY1031" i="9"/>
  <c r="DZ1031" i="9"/>
  <c r="EB1031" i="9"/>
  <c r="EC1031" i="9"/>
  <c r="ED1031" i="9"/>
  <c r="EE1031" i="9"/>
  <c r="EF1031" i="9"/>
  <c r="EG1031" i="9"/>
  <c r="EI1031" i="9"/>
  <c r="EJ1031" i="9"/>
  <c r="EL1031" i="9"/>
  <c r="EM1031" i="9"/>
  <c r="EN1031" i="9"/>
  <c r="EO1031" i="9"/>
  <c r="EP1031" i="9"/>
  <c r="EQ1031" i="9"/>
  <c r="ET1031" i="9"/>
  <c r="EU1031" i="9"/>
  <c r="EV1031" i="9"/>
  <c r="EW1031" i="9"/>
  <c r="EX1031" i="9"/>
  <c r="EY1031" i="9"/>
  <c r="EZ1031" i="9"/>
  <c r="FA1031" i="9"/>
  <c r="FB1031" i="9"/>
  <c r="FD1031" i="9"/>
  <c r="FF1031" i="9"/>
  <c r="FG1031" i="9"/>
  <c r="FH1031" i="9"/>
  <c r="FI1031" i="9"/>
  <c r="FJ1031" i="9"/>
  <c r="FK1031" i="9"/>
  <c r="FM1031" i="9"/>
  <c r="FN1031" i="9"/>
  <c r="FO1031" i="9"/>
  <c r="FP1031" i="9"/>
  <c r="FQ1031" i="9"/>
  <c r="FR1031" i="9"/>
  <c r="FS1031" i="9"/>
  <c r="FT1031" i="9"/>
  <c r="FU1031" i="9"/>
  <c r="FV1031" i="9"/>
  <c r="FW1031" i="9"/>
  <c r="FX1031" i="9"/>
  <c r="FY1031" i="9"/>
  <c r="FZ1031" i="9"/>
  <c r="GA1031" i="9"/>
  <c r="GB1031" i="9"/>
  <c r="GC1031" i="9"/>
  <c r="D937" i="9"/>
  <c r="H937" i="9"/>
  <c r="J937" i="9"/>
  <c r="K937" i="9"/>
  <c r="L937" i="9"/>
  <c r="N937" i="9"/>
  <c r="O937" i="9"/>
  <c r="P937" i="9"/>
  <c r="R937" i="9"/>
  <c r="AE937" i="9"/>
  <c r="AT937" i="9"/>
  <c r="BI937" i="9"/>
  <c r="BJ937" i="9"/>
  <c r="BL937" i="9"/>
  <c r="BM937" i="9"/>
  <c r="BN937" i="9"/>
  <c r="BO937" i="9"/>
  <c r="BP937" i="9"/>
  <c r="BQ937" i="9"/>
  <c r="BR937" i="9"/>
  <c r="BS937" i="9"/>
  <c r="BT937" i="9"/>
  <c r="BU937" i="9"/>
  <c r="BV937" i="9"/>
  <c r="BW937" i="9"/>
  <c r="BX937" i="9"/>
  <c r="BY937" i="9"/>
  <c r="BZ937" i="9"/>
  <c r="CA937" i="9"/>
  <c r="CB937" i="9"/>
  <c r="CC937" i="9"/>
  <c r="CD937" i="9"/>
  <c r="CE937" i="9"/>
  <c r="CF937" i="9"/>
  <c r="CG937" i="9"/>
  <c r="CH937" i="9"/>
  <c r="CI937" i="9"/>
  <c r="CJ937" i="9"/>
  <c r="CK937" i="9"/>
  <c r="CL937" i="9"/>
  <c r="CM937" i="9"/>
  <c r="CN937" i="9"/>
  <c r="CO937" i="9"/>
  <c r="CR937" i="9"/>
  <c r="CS937" i="9"/>
  <c r="CT937" i="9"/>
  <c r="CV937" i="9"/>
  <c r="CW937" i="9"/>
  <c r="CX937" i="9"/>
  <c r="CY937" i="9"/>
  <c r="CZ937" i="9"/>
  <c r="DA937" i="9"/>
  <c r="DB937" i="9"/>
  <c r="DD937" i="9"/>
  <c r="DE937" i="9"/>
  <c r="DF937" i="9"/>
  <c r="DG937" i="9"/>
  <c r="DI937" i="9"/>
  <c r="DJ937" i="9"/>
  <c r="DP937" i="9"/>
  <c r="DQ937" i="9"/>
  <c r="DR937" i="9"/>
  <c r="DS937" i="9"/>
  <c r="DT937" i="9"/>
  <c r="DU937" i="9"/>
  <c r="DV937" i="9"/>
  <c r="DX937" i="9"/>
  <c r="DY937" i="9"/>
  <c r="DZ937" i="9"/>
  <c r="EB937" i="9"/>
  <c r="EC937" i="9"/>
  <c r="ED937" i="9"/>
  <c r="EE937" i="9"/>
  <c r="EF937" i="9"/>
  <c r="EG937" i="9"/>
  <c r="EH937" i="9"/>
  <c r="EI937" i="9"/>
  <c r="EN937" i="9"/>
  <c r="EO937" i="9"/>
  <c r="EP937" i="9"/>
  <c r="ET937" i="9"/>
  <c r="EU937" i="9"/>
  <c r="EV937" i="9"/>
  <c r="EW937" i="9"/>
  <c r="EX937" i="9"/>
  <c r="EZ937" i="9"/>
  <c r="FD937" i="9"/>
  <c r="FF937" i="9"/>
  <c r="FG937" i="9"/>
  <c r="FH937" i="9"/>
  <c r="FI937" i="9"/>
  <c r="FM937" i="9"/>
  <c r="FN937" i="9"/>
  <c r="FO937" i="9"/>
  <c r="FP937" i="9"/>
  <c r="FQ937" i="9"/>
  <c r="FR937" i="9"/>
  <c r="FS937" i="9"/>
  <c r="FT937" i="9"/>
  <c r="FU937" i="9"/>
  <c r="FV937" i="9"/>
  <c r="FW937" i="9"/>
  <c r="FX937" i="9"/>
  <c r="FY937" i="9"/>
  <c r="GC937" i="9"/>
  <c r="D805" i="9"/>
  <c r="H805" i="9"/>
  <c r="M805" i="9"/>
  <c r="U805" i="9"/>
  <c r="W805" i="9"/>
  <c r="Z805" i="9"/>
  <c r="AA805" i="9"/>
  <c r="AE805" i="9"/>
  <c r="AF805" i="9"/>
  <c r="AP805" i="9"/>
  <c r="AR805" i="9"/>
  <c r="AS805" i="9"/>
  <c r="AT805" i="9"/>
  <c r="AV805" i="9"/>
  <c r="AX805" i="9"/>
  <c r="AZ805" i="9"/>
  <c r="BI805" i="9"/>
  <c r="BJ805" i="9"/>
  <c r="BN805" i="9"/>
  <c r="BO805" i="9"/>
  <c r="BP805" i="9"/>
  <c r="BQ805" i="9"/>
  <c r="BR805" i="9"/>
  <c r="BS805" i="9"/>
  <c r="BT805" i="9"/>
  <c r="BU805" i="9"/>
  <c r="BV805" i="9"/>
  <c r="BW805" i="9"/>
  <c r="BX805" i="9"/>
  <c r="BY805" i="9"/>
  <c r="BZ805" i="9"/>
  <c r="CA805" i="9"/>
  <c r="CB805" i="9"/>
  <c r="CC805" i="9"/>
  <c r="CD805" i="9"/>
  <c r="CE805" i="9"/>
  <c r="CF805" i="9"/>
  <c r="CG805" i="9"/>
  <c r="CH805" i="9"/>
  <c r="CI805" i="9"/>
  <c r="CJ805" i="9"/>
  <c r="CK805" i="9"/>
  <c r="CL805" i="9"/>
  <c r="CM805" i="9"/>
  <c r="CN805" i="9"/>
  <c r="CO805" i="9"/>
  <c r="CR805" i="9"/>
  <c r="CS805" i="9"/>
  <c r="CT805" i="9"/>
  <c r="CV805" i="9"/>
  <c r="CW805" i="9"/>
  <c r="CX805" i="9"/>
  <c r="CY805" i="9"/>
  <c r="CZ805" i="9"/>
  <c r="DA805" i="9"/>
  <c r="DB805" i="9"/>
  <c r="DC805" i="9"/>
  <c r="DD805" i="9"/>
  <c r="DE805" i="9"/>
  <c r="DF805" i="9"/>
  <c r="DG805" i="9"/>
  <c r="DI805" i="9"/>
  <c r="DJ805" i="9"/>
  <c r="DP805" i="9"/>
  <c r="DQ805" i="9"/>
  <c r="DR805" i="9"/>
  <c r="DS805" i="9"/>
  <c r="DT805" i="9"/>
  <c r="DU805" i="9"/>
  <c r="DV805" i="9"/>
  <c r="DX805" i="9"/>
  <c r="DY805" i="9"/>
  <c r="DZ805" i="9"/>
  <c r="EB805" i="9"/>
  <c r="EC805" i="9"/>
  <c r="ED805" i="9"/>
  <c r="EE805" i="9"/>
  <c r="EF805" i="9"/>
  <c r="EI805" i="9"/>
  <c r="EN805" i="9"/>
  <c r="EO805" i="9"/>
  <c r="ET805" i="9"/>
  <c r="EU805" i="9"/>
  <c r="EV805" i="9"/>
  <c r="EW805" i="9"/>
  <c r="EY805" i="9"/>
  <c r="EZ805" i="9"/>
  <c r="FD805" i="9"/>
  <c r="FF805" i="9"/>
  <c r="FG805" i="9"/>
  <c r="FH805" i="9"/>
  <c r="FI805" i="9"/>
  <c r="FM805" i="9"/>
  <c r="FN805" i="9"/>
  <c r="FO805" i="9"/>
  <c r="FP805" i="9"/>
  <c r="FQ805" i="9"/>
  <c r="FR805" i="9"/>
  <c r="FS805" i="9"/>
  <c r="FT805" i="9"/>
  <c r="FU805" i="9"/>
  <c r="FV805" i="9"/>
  <c r="FW805" i="9"/>
  <c r="FX805" i="9"/>
  <c r="FY805" i="9"/>
  <c r="GC805" i="9"/>
  <c r="D640" i="9"/>
  <c r="H640" i="9"/>
  <c r="I640" i="9"/>
  <c r="J640" i="9"/>
  <c r="K640" i="9"/>
  <c r="L640" i="9"/>
  <c r="M640" i="9"/>
  <c r="R640" i="9"/>
  <c r="U640" i="9"/>
  <c r="AC640" i="9"/>
  <c r="AE640" i="9"/>
  <c r="AF640" i="9"/>
  <c r="AO640" i="9"/>
  <c r="AP640" i="9"/>
  <c r="AR640" i="9"/>
  <c r="AS640" i="9"/>
  <c r="AT640" i="9"/>
  <c r="AV640" i="9"/>
  <c r="AW640" i="9"/>
  <c r="AX640" i="9"/>
  <c r="AZ640" i="9"/>
  <c r="BJ640" i="9"/>
  <c r="BO640" i="9"/>
  <c r="BQ640" i="9"/>
  <c r="BR640" i="9"/>
  <c r="BS640" i="9"/>
  <c r="BT640" i="9"/>
  <c r="BU640" i="9"/>
  <c r="BV640" i="9"/>
  <c r="BW640" i="9"/>
  <c r="BX640" i="9"/>
  <c r="BY640" i="9"/>
  <c r="BZ640" i="9"/>
  <c r="CA640" i="9"/>
  <c r="CB640" i="9"/>
  <c r="CC640" i="9"/>
  <c r="CD640" i="9"/>
  <c r="CE640" i="9"/>
  <c r="CF640" i="9"/>
  <c r="CG640" i="9"/>
  <c r="CH640" i="9"/>
  <c r="CI640" i="9"/>
  <c r="CJ640" i="9"/>
  <c r="CK640" i="9"/>
  <c r="CL640" i="9"/>
  <c r="CM640" i="9"/>
  <c r="CN640" i="9"/>
  <c r="CO640" i="9"/>
  <c r="CR640" i="9"/>
  <c r="CS640" i="9"/>
  <c r="CT640" i="9"/>
  <c r="CV640" i="9"/>
  <c r="CW640" i="9"/>
  <c r="CX640" i="9"/>
  <c r="CY640" i="9"/>
  <c r="CZ640" i="9"/>
  <c r="DA640" i="9"/>
  <c r="DB640" i="9"/>
  <c r="DC640" i="9"/>
  <c r="DD640" i="9"/>
  <c r="DE640" i="9"/>
  <c r="DF640" i="9"/>
  <c r="DG640" i="9"/>
  <c r="DI640" i="9"/>
  <c r="DJ640" i="9"/>
  <c r="DM640" i="9"/>
  <c r="DN640" i="9"/>
  <c r="DP640" i="9"/>
  <c r="DQ640" i="9"/>
  <c r="DR640" i="9"/>
  <c r="DS640" i="9"/>
  <c r="DT640" i="9"/>
  <c r="DU640" i="9"/>
  <c r="DV640" i="9"/>
  <c r="DX640" i="9"/>
  <c r="DY640" i="9"/>
  <c r="DZ640" i="9"/>
  <c r="EB640" i="9"/>
  <c r="EC640" i="9"/>
  <c r="ED640" i="9"/>
  <c r="EE640" i="9"/>
  <c r="EF640" i="9"/>
  <c r="EG640" i="9"/>
  <c r="EH640" i="9"/>
  <c r="EI640" i="9"/>
  <c r="EN640" i="9"/>
  <c r="EO640" i="9"/>
  <c r="EP640" i="9"/>
  <c r="EQ640" i="9"/>
  <c r="ER640" i="9"/>
  <c r="ET640" i="9"/>
  <c r="EV640" i="9"/>
  <c r="EW640" i="9"/>
  <c r="EX640" i="9"/>
  <c r="EY640" i="9"/>
  <c r="EZ640" i="9"/>
  <c r="FD640" i="9"/>
  <c r="FF640" i="9"/>
  <c r="FG640" i="9"/>
  <c r="FH640" i="9"/>
  <c r="FI640" i="9"/>
  <c r="FJ640" i="9"/>
  <c r="FM640" i="9"/>
  <c r="FN640" i="9"/>
  <c r="FO640" i="9"/>
  <c r="FP640" i="9"/>
  <c r="FR640" i="9"/>
  <c r="FS640" i="9"/>
  <c r="FT640" i="9"/>
  <c r="FU640" i="9"/>
  <c r="FV640" i="9"/>
  <c r="FW640" i="9"/>
  <c r="FX640" i="9"/>
  <c r="FY640" i="9"/>
  <c r="GA640" i="9"/>
  <c r="GC640" i="9"/>
  <c r="D485" i="9"/>
  <c r="H485" i="9"/>
  <c r="I485" i="9"/>
  <c r="J485" i="9"/>
  <c r="K485" i="9"/>
  <c r="L485" i="9"/>
  <c r="M485" i="9"/>
  <c r="N485" i="9"/>
  <c r="O485" i="9"/>
  <c r="P485" i="9"/>
  <c r="Q485" i="9"/>
  <c r="R485" i="9"/>
  <c r="S485" i="9"/>
  <c r="U485" i="9"/>
  <c r="V485" i="9"/>
  <c r="W485" i="9"/>
  <c r="Y485" i="9"/>
  <c r="Z485" i="9"/>
  <c r="AA485" i="9"/>
  <c r="AC485" i="9"/>
  <c r="AE485" i="9"/>
  <c r="AF485" i="9"/>
  <c r="AJ485" i="9"/>
  <c r="AO485" i="9"/>
  <c r="AP485" i="9"/>
  <c r="AR485" i="9"/>
  <c r="AS485" i="9"/>
  <c r="AT485" i="9"/>
  <c r="AU485" i="9"/>
  <c r="AV485" i="9"/>
  <c r="AW485" i="9"/>
  <c r="AX485" i="9"/>
  <c r="AZ485" i="9"/>
  <c r="BC485" i="9"/>
  <c r="BI485" i="9"/>
  <c r="BJ485" i="9"/>
  <c r="BL485" i="9"/>
  <c r="BM485" i="9"/>
  <c r="BN485" i="9"/>
  <c r="BO485" i="9"/>
  <c r="BP485" i="9"/>
  <c r="BQ485" i="9"/>
  <c r="BR485" i="9"/>
  <c r="BS485" i="9"/>
  <c r="BT485" i="9"/>
  <c r="BU485" i="9"/>
  <c r="BV485" i="9"/>
  <c r="BW485" i="9"/>
  <c r="BX485" i="9"/>
  <c r="BY485" i="9"/>
  <c r="BZ485" i="9"/>
  <c r="CA485" i="9"/>
  <c r="CB485" i="9"/>
  <c r="CC485" i="9"/>
  <c r="CD485" i="9"/>
  <c r="CE485" i="9"/>
  <c r="CF485" i="9"/>
  <c r="CG485" i="9"/>
  <c r="CH485" i="9"/>
  <c r="CI485" i="9"/>
  <c r="CJ485" i="9"/>
  <c r="CK485" i="9"/>
  <c r="CL485" i="9"/>
  <c r="CM485" i="9"/>
  <c r="CN485" i="9"/>
  <c r="CO485" i="9"/>
  <c r="CR485" i="9"/>
  <c r="CS485" i="9"/>
  <c r="CT485" i="9"/>
  <c r="CV485" i="9"/>
  <c r="CW485" i="9"/>
  <c r="CX485" i="9"/>
  <c r="CY485" i="9"/>
  <c r="CZ485" i="9"/>
  <c r="DA485" i="9"/>
  <c r="DB485" i="9"/>
  <c r="DC485" i="9"/>
  <c r="DD485" i="9"/>
  <c r="DE485" i="9"/>
  <c r="DF485" i="9"/>
  <c r="DG485" i="9"/>
  <c r="DI485" i="9"/>
  <c r="DJ485" i="9"/>
  <c r="DM485" i="9"/>
  <c r="DN485" i="9"/>
  <c r="DP485" i="9"/>
  <c r="DQ485" i="9"/>
  <c r="DR485" i="9"/>
  <c r="DS485" i="9"/>
  <c r="DT485" i="9"/>
  <c r="DU485" i="9"/>
  <c r="DV485" i="9"/>
  <c r="DW485" i="9"/>
  <c r="DX485" i="9"/>
  <c r="EB485" i="9"/>
  <c r="EC485" i="9"/>
  <c r="EF485" i="9"/>
  <c r="EG485" i="9"/>
  <c r="EH485" i="9"/>
  <c r="EI485" i="9"/>
  <c r="EJ485" i="9"/>
  <c r="EM485" i="9"/>
  <c r="EN485" i="9"/>
  <c r="EO485" i="9"/>
  <c r="EP485" i="9"/>
  <c r="EU485" i="9"/>
  <c r="EV485" i="9"/>
  <c r="EW485" i="9"/>
  <c r="EX485" i="9"/>
  <c r="EY485" i="9"/>
  <c r="EZ485" i="9"/>
  <c r="FB485" i="9"/>
  <c r="FD485" i="9"/>
  <c r="FF485" i="9"/>
  <c r="FG485" i="9"/>
  <c r="FH485" i="9"/>
  <c r="FI485" i="9"/>
  <c r="FJ485" i="9"/>
  <c r="FK485" i="9"/>
  <c r="FN485" i="9"/>
  <c r="FO485" i="9"/>
  <c r="FP485" i="9"/>
  <c r="FR485" i="9"/>
  <c r="FS485" i="9"/>
  <c r="FT485" i="9"/>
  <c r="FU485" i="9"/>
  <c r="FV485" i="9"/>
  <c r="FW485" i="9"/>
  <c r="FX485" i="9"/>
  <c r="FY485" i="9"/>
  <c r="FZ485" i="9"/>
  <c r="GA485" i="9"/>
  <c r="GB485" i="9"/>
  <c r="GC485" i="9"/>
  <c r="D361" i="9"/>
  <c r="H361" i="9"/>
  <c r="I361" i="9"/>
  <c r="J361" i="9"/>
  <c r="K361" i="9"/>
  <c r="L361" i="9"/>
  <c r="M361" i="9"/>
  <c r="N361" i="9"/>
  <c r="O361" i="9"/>
  <c r="P361" i="9"/>
  <c r="Q361" i="9"/>
  <c r="R361" i="9"/>
  <c r="T361" i="9"/>
  <c r="U361" i="9"/>
  <c r="W361" i="9"/>
  <c r="Z361" i="9"/>
  <c r="AA361" i="9"/>
  <c r="AB361" i="9"/>
  <c r="AC361" i="9"/>
  <c r="AD361" i="9"/>
  <c r="AE361" i="9"/>
  <c r="AF361" i="9"/>
  <c r="AG361" i="9"/>
  <c r="AH361" i="9"/>
  <c r="AJ361" i="9"/>
  <c r="AK361" i="9"/>
  <c r="AM361" i="9"/>
  <c r="AN361" i="9"/>
  <c r="AO361" i="9"/>
  <c r="AP361" i="9"/>
  <c r="AQ361" i="9"/>
  <c r="AR361" i="9"/>
  <c r="AS361" i="9"/>
  <c r="AT361" i="9"/>
  <c r="AU361" i="9"/>
  <c r="AV361" i="9"/>
  <c r="AW361" i="9"/>
  <c r="AX361" i="9"/>
  <c r="AY361" i="9"/>
  <c r="AZ361" i="9"/>
  <c r="BB361" i="9"/>
  <c r="BC361" i="9"/>
  <c r="BD361" i="9"/>
  <c r="BF361" i="9"/>
  <c r="BI361" i="9"/>
  <c r="BJ361" i="9"/>
  <c r="BK361" i="9"/>
  <c r="BL361" i="9"/>
  <c r="BM361" i="9"/>
  <c r="BN361" i="9"/>
  <c r="BO361" i="9"/>
  <c r="BP361" i="9"/>
  <c r="BQ361" i="9"/>
  <c r="BR361" i="9"/>
  <c r="BS361" i="9"/>
  <c r="BT361" i="9"/>
  <c r="BU361" i="9"/>
  <c r="BV361" i="9"/>
  <c r="BW361" i="9"/>
  <c r="BX361" i="9"/>
  <c r="BY361" i="9"/>
  <c r="BZ361" i="9"/>
  <c r="CA361" i="9"/>
  <c r="CB361" i="9"/>
  <c r="CC361" i="9"/>
  <c r="CD361" i="9"/>
  <c r="CE361" i="9"/>
  <c r="CF361" i="9"/>
  <c r="CG361" i="9"/>
  <c r="CH361" i="9"/>
  <c r="CI361" i="9"/>
  <c r="CJ361" i="9"/>
  <c r="CK361" i="9"/>
  <c r="CL361" i="9"/>
  <c r="CM361" i="9"/>
  <c r="CN361" i="9"/>
  <c r="CO361" i="9"/>
  <c r="CR361" i="9"/>
  <c r="CS361" i="9"/>
  <c r="CT361" i="9"/>
  <c r="CV361" i="9"/>
  <c r="CW361" i="9"/>
  <c r="CX361" i="9"/>
  <c r="CZ361" i="9"/>
  <c r="DA361" i="9"/>
  <c r="DB361" i="9"/>
  <c r="DC361" i="9"/>
  <c r="DD361" i="9"/>
  <c r="DE361" i="9"/>
  <c r="DF361" i="9"/>
  <c r="DG361" i="9"/>
  <c r="DI361" i="9"/>
  <c r="DJ361" i="9"/>
  <c r="DM361" i="9"/>
  <c r="DN361" i="9"/>
  <c r="DQ361" i="9"/>
  <c r="DT361" i="9"/>
  <c r="DU361" i="9"/>
  <c r="DW361" i="9"/>
  <c r="DY361" i="9"/>
  <c r="DZ361" i="9"/>
  <c r="EB361" i="9"/>
  <c r="EC361" i="9"/>
  <c r="ED361" i="9"/>
  <c r="EE361" i="9"/>
  <c r="EF361" i="9"/>
  <c r="EG361" i="9"/>
  <c r="EI361" i="9"/>
  <c r="EN361" i="9"/>
  <c r="ET361" i="9"/>
  <c r="EX361" i="9"/>
  <c r="FH361" i="9"/>
  <c r="FI361" i="9"/>
  <c r="FT361" i="9"/>
  <c r="FY361" i="9"/>
  <c r="FZ361" i="9"/>
  <c r="GA361" i="9"/>
  <c r="GB361" i="9"/>
  <c r="GC361" i="9"/>
  <c r="D230" i="9"/>
  <c r="H230" i="9"/>
  <c r="I230" i="9"/>
  <c r="J230" i="9"/>
  <c r="K230" i="9"/>
  <c r="L230" i="9"/>
  <c r="M230" i="9"/>
  <c r="N230" i="9"/>
  <c r="O230" i="9"/>
  <c r="P230" i="9"/>
  <c r="Q230" i="9"/>
  <c r="R230" i="9"/>
  <c r="T230" i="9"/>
  <c r="U230" i="9"/>
  <c r="V230" i="9"/>
  <c r="W230" i="9"/>
  <c r="Z230" i="9"/>
  <c r="AA230" i="9"/>
  <c r="AB230" i="9"/>
  <c r="AC230" i="9"/>
  <c r="AD230" i="9"/>
  <c r="AE230" i="9"/>
  <c r="AF230" i="9"/>
  <c r="AG230" i="9"/>
  <c r="AH230" i="9"/>
  <c r="AI230" i="9"/>
  <c r="AJ230" i="9"/>
  <c r="AK230" i="9"/>
  <c r="AL230" i="9"/>
  <c r="AM230" i="9"/>
  <c r="AN230" i="9"/>
  <c r="AO230" i="9"/>
  <c r="AP230" i="9"/>
  <c r="AQ230" i="9"/>
  <c r="AR230" i="9"/>
  <c r="AS230" i="9"/>
  <c r="AT230" i="9"/>
  <c r="AU230" i="9"/>
  <c r="AV230" i="9"/>
  <c r="AW230" i="9"/>
  <c r="AX230" i="9"/>
  <c r="AY230" i="9"/>
  <c r="AZ230" i="9"/>
  <c r="BA230" i="9"/>
  <c r="BB230" i="9"/>
  <c r="BC230" i="9"/>
  <c r="BD230" i="9"/>
  <c r="BE230" i="9"/>
  <c r="BF230" i="9"/>
  <c r="BI230" i="9"/>
  <c r="BJ230" i="9"/>
  <c r="BK230" i="9"/>
  <c r="BL230" i="9"/>
  <c r="BM230" i="9"/>
  <c r="BN230" i="9"/>
  <c r="BO230" i="9"/>
  <c r="BP230" i="9"/>
  <c r="BQ230" i="9"/>
  <c r="BR230" i="9"/>
  <c r="BS230" i="9"/>
  <c r="BT230" i="9"/>
  <c r="BU230" i="9"/>
  <c r="BV230" i="9"/>
  <c r="BW230" i="9"/>
  <c r="BX230" i="9"/>
  <c r="BY230" i="9"/>
  <c r="BZ230" i="9"/>
  <c r="CA230" i="9"/>
  <c r="CB230" i="9"/>
  <c r="CC230" i="9"/>
  <c r="CD230" i="9"/>
  <c r="CE230" i="9"/>
  <c r="CF230" i="9"/>
  <c r="CG230" i="9"/>
  <c r="CH230" i="9"/>
  <c r="CI230" i="9"/>
  <c r="CJ230" i="9"/>
  <c r="CK230" i="9"/>
  <c r="CL230" i="9"/>
  <c r="CM230" i="9"/>
  <c r="CO230" i="9"/>
  <c r="CR230" i="9"/>
  <c r="CS230" i="9"/>
  <c r="CT230" i="9"/>
  <c r="CV230" i="9"/>
  <c r="CX230" i="9"/>
  <c r="CY230" i="9"/>
  <c r="CZ230" i="9"/>
  <c r="DA230" i="9"/>
  <c r="DB230" i="9"/>
  <c r="DC230" i="9"/>
  <c r="DD230" i="9"/>
  <c r="DE230" i="9"/>
  <c r="DF230" i="9"/>
  <c r="DG230" i="9"/>
  <c r="DI230" i="9"/>
  <c r="DJ230" i="9"/>
  <c r="DL230" i="9"/>
  <c r="DM230" i="9"/>
  <c r="DN230" i="9"/>
  <c r="DO230" i="9"/>
  <c r="DQ230" i="9"/>
  <c r="DT230" i="9"/>
  <c r="DU230" i="9"/>
  <c r="DV230" i="9"/>
  <c r="DW230" i="9"/>
  <c r="DY230" i="9"/>
  <c r="DZ230" i="9"/>
  <c r="EB230" i="9"/>
  <c r="EC230" i="9"/>
  <c r="ED230" i="9"/>
  <c r="EE230" i="9"/>
  <c r="EF230" i="9"/>
  <c r="EG230" i="9"/>
  <c r="EI230" i="9"/>
  <c r="ET230" i="9"/>
  <c r="EX230" i="9"/>
  <c r="FH230" i="9"/>
  <c r="FI230" i="9"/>
  <c r="FT230" i="9"/>
  <c r="FY230" i="9"/>
  <c r="FZ230" i="9"/>
  <c r="GA230" i="9"/>
  <c r="GB230" i="9"/>
  <c r="GC230" i="9"/>
  <c r="D133" i="9"/>
  <c r="I133" i="9"/>
  <c r="J133" i="9"/>
  <c r="K133" i="9"/>
  <c r="L133" i="9"/>
  <c r="M133" i="9"/>
  <c r="N133" i="9"/>
  <c r="O133" i="9"/>
  <c r="P133" i="9"/>
  <c r="Q133" i="9"/>
  <c r="R133" i="9"/>
  <c r="S133" i="9"/>
  <c r="T133" i="9"/>
  <c r="U133" i="9"/>
  <c r="V133" i="9"/>
  <c r="W133" i="9"/>
  <c r="Y133" i="9"/>
  <c r="Z133" i="9"/>
  <c r="AA133" i="9"/>
  <c r="AB133" i="9"/>
  <c r="AC133" i="9"/>
  <c r="AD133" i="9"/>
  <c r="AE133" i="9"/>
  <c r="AF133" i="9"/>
  <c r="AG133" i="9"/>
  <c r="AH133" i="9"/>
  <c r="AI133" i="9"/>
  <c r="AJ133" i="9"/>
  <c r="AK133" i="9"/>
  <c r="AM133" i="9"/>
  <c r="AN133" i="9"/>
  <c r="AO133" i="9"/>
  <c r="AP133" i="9"/>
  <c r="AQ133" i="9"/>
  <c r="AR133" i="9"/>
  <c r="AS133" i="9"/>
  <c r="AT133" i="9"/>
  <c r="AU133" i="9"/>
  <c r="AV133" i="9"/>
  <c r="AW133" i="9"/>
  <c r="AX133" i="9"/>
  <c r="AY133" i="9"/>
  <c r="AZ133" i="9"/>
  <c r="BA133" i="9"/>
  <c r="BB133" i="9"/>
  <c r="BC133" i="9"/>
  <c r="BD133" i="9"/>
  <c r="BE133" i="9"/>
  <c r="BF133" i="9"/>
  <c r="BG133" i="9"/>
  <c r="BH133" i="9"/>
  <c r="BI133" i="9"/>
  <c r="BJ133" i="9"/>
  <c r="BK133" i="9"/>
  <c r="BL133" i="9"/>
  <c r="BM133" i="9"/>
  <c r="BN133" i="9"/>
  <c r="BO133" i="9"/>
  <c r="BP133" i="9"/>
  <c r="BQ133" i="9"/>
  <c r="BR133" i="9"/>
  <c r="BS133" i="9"/>
  <c r="BT133" i="9"/>
  <c r="BV133" i="9"/>
  <c r="BW133" i="9"/>
  <c r="BX133" i="9"/>
  <c r="BY133" i="9"/>
  <c r="BZ133" i="9"/>
  <c r="CA133" i="9"/>
  <c r="CB133" i="9"/>
  <c r="CD133" i="9"/>
  <c r="CE133" i="9"/>
  <c r="CF133" i="9"/>
  <c r="CG133" i="9"/>
  <c r="CH133" i="9"/>
  <c r="CI133" i="9"/>
  <c r="CJ133" i="9"/>
  <c r="CK133" i="9"/>
  <c r="CL133" i="9"/>
  <c r="CM133" i="9"/>
  <c r="CN133" i="9"/>
  <c r="CO133" i="9"/>
  <c r="CR133" i="9"/>
  <c r="CS133" i="9"/>
  <c r="CT133" i="9"/>
  <c r="CV133" i="9"/>
  <c r="CW133" i="9"/>
  <c r="CX133" i="9"/>
  <c r="CY133" i="9"/>
  <c r="CZ133" i="9"/>
  <c r="DA133" i="9"/>
  <c r="DB133" i="9"/>
  <c r="DC133" i="9"/>
  <c r="DD133" i="9"/>
  <c r="DE133" i="9"/>
  <c r="DF133" i="9"/>
  <c r="DG133" i="9"/>
  <c r="DI133" i="9"/>
  <c r="DJ133" i="9"/>
  <c r="DK133" i="9"/>
  <c r="DL133" i="9"/>
  <c r="DM133" i="9"/>
  <c r="DN133" i="9"/>
  <c r="DO133" i="9"/>
  <c r="DQ133" i="9"/>
  <c r="DR133" i="9"/>
  <c r="DS133" i="9"/>
  <c r="DT133" i="9"/>
  <c r="DU133" i="9"/>
  <c r="DV133" i="9"/>
  <c r="DW133" i="9"/>
  <c r="DX133" i="9"/>
  <c r="DY133" i="9"/>
  <c r="DZ133" i="9"/>
  <c r="EB133" i="9"/>
  <c r="EC133" i="9"/>
  <c r="ED133" i="9"/>
  <c r="EE133" i="9"/>
  <c r="EF133" i="9"/>
  <c r="EG133" i="9"/>
  <c r="EH133" i="9"/>
  <c r="EI133" i="9"/>
  <c r="EJ133" i="9"/>
  <c r="EK133" i="9"/>
  <c r="EL133" i="9"/>
  <c r="EM133" i="9"/>
  <c r="EN133" i="9"/>
  <c r="EO133" i="9"/>
  <c r="EP133" i="9"/>
  <c r="EQ133" i="9"/>
  <c r="ER133" i="9"/>
  <c r="ES133" i="9"/>
  <c r="ET133" i="9"/>
  <c r="EU133" i="9"/>
  <c r="EV133" i="9"/>
  <c r="EW133" i="9"/>
  <c r="EX133" i="9"/>
  <c r="EY133" i="9"/>
  <c r="EZ133" i="9"/>
  <c r="FA133" i="9"/>
  <c r="FB133" i="9"/>
  <c r="FC133" i="9"/>
  <c r="FD133" i="9"/>
  <c r="FE133" i="9"/>
  <c r="FF133" i="9"/>
  <c r="FG133" i="9"/>
  <c r="FH133" i="9"/>
  <c r="FI133" i="9"/>
  <c r="FJ133" i="9"/>
  <c r="FK133" i="9"/>
  <c r="FL133" i="9"/>
  <c r="FM133" i="9"/>
  <c r="FN133" i="9"/>
  <c r="FO133" i="9"/>
  <c r="FP133" i="9"/>
  <c r="FQ133" i="9"/>
  <c r="FR133" i="9"/>
  <c r="FS133" i="9"/>
  <c r="FT133" i="9"/>
  <c r="FU133" i="9"/>
  <c r="FV133" i="9"/>
  <c r="FW133" i="9"/>
  <c r="FX133" i="9"/>
  <c r="FY133" i="9"/>
  <c r="FZ133" i="9"/>
  <c r="GA133" i="9"/>
  <c r="GB133" i="9"/>
  <c r="GC133" i="9"/>
  <c r="GD133" i="9"/>
  <c r="D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Y78" i="9"/>
  <c r="AA78" i="9"/>
  <c r="AB78" i="9"/>
  <c r="AC78" i="9"/>
  <c r="AD78" i="9"/>
  <c r="AE78" i="9"/>
  <c r="AF78" i="9"/>
  <c r="AG78" i="9"/>
  <c r="AH78" i="9"/>
  <c r="AI78" i="9"/>
  <c r="AJ78" i="9"/>
  <c r="AK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BA78" i="9"/>
  <c r="BB78" i="9"/>
  <c r="BC78" i="9"/>
  <c r="BD78" i="9"/>
  <c r="BE78" i="9"/>
  <c r="BF78" i="9"/>
  <c r="BG78" i="9"/>
  <c r="BH78" i="9"/>
  <c r="BI78" i="9"/>
  <c r="BJ78" i="9"/>
  <c r="BK78" i="9"/>
  <c r="BL78" i="9"/>
  <c r="BM78" i="9"/>
  <c r="BN78" i="9"/>
  <c r="BO78" i="9"/>
  <c r="BP78" i="9"/>
  <c r="BQ78" i="9"/>
  <c r="BR78" i="9"/>
  <c r="BS78" i="9"/>
  <c r="BU78" i="9"/>
  <c r="BV78" i="9"/>
  <c r="BW78" i="9"/>
  <c r="BX78" i="9"/>
  <c r="BZ78" i="9"/>
  <c r="CA78" i="9"/>
  <c r="CB78" i="9"/>
  <c r="CC78" i="9"/>
  <c r="CD78" i="9"/>
  <c r="CE78" i="9"/>
  <c r="CF78" i="9"/>
  <c r="CG78" i="9"/>
  <c r="CH78" i="9"/>
  <c r="CI78" i="9"/>
  <c r="CJ78" i="9"/>
  <c r="CK78" i="9"/>
  <c r="CL78" i="9"/>
  <c r="CM78" i="9"/>
  <c r="CN78" i="9"/>
  <c r="CO78" i="9"/>
  <c r="CR78" i="9"/>
  <c r="CS78" i="9"/>
  <c r="CT78" i="9"/>
  <c r="CV78" i="9"/>
  <c r="CW78" i="9"/>
  <c r="CX78" i="9"/>
  <c r="CY78" i="9"/>
  <c r="CZ78" i="9"/>
  <c r="DA78" i="9"/>
  <c r="DB78" i="9"/>
  <c r="DC78" i="9"/>
  <c r="DD78" i="9"/>
  <c r="DE78" i="9"/>
  <c r="DF78" i="9"/>
  <c r="DG78" i="9"/>
  <c r="DI78" i="9"/>
  <c r="DJ78" i="9"/>
  <c r="DK78" i="9"/>
  <c r="DL78" i="9"/>
  <c r="DM78" i="9"/>
  <c r="DN78" i="9"/>
  <c r="DO78" i="9"/>
  <c r="DP78" i="9"/>
  <c r="DQ78" i="9"/>
  <c r="DR78" i="9"/>
  <c r="DT78" i="9"/>
  <c r="DU78" i="9"/>
  <c r="DW78" i="9"/>
  <c r="DY78" i="9"/>
  <c r="DZ78" i="9"/>
  <c r="EB78" i="9"/>
  <c r="EC78" i="9"/>
  <c r="ED78" i="9"/>
  <c r="EE78" i="9"/>
  <c r="EF78" i="9"/>
  <c r="EG78" i="9"/>
  <c r="EI78" i="9"/>
  <c r="EL78" i="9"/>
  <c r="EM78" i="9"/>
  <c r="EN78" i="9"/>
  <c r="EO78" i="9"/>
  <c r="EP78" i="9"/>
  <c r="EQ78" i="9"/>
  <c r="ER78" i="9"/>
  <c r="ES78" i="9"/>
  <c r="ET78" i="9"/>
  <c r="EU78" i="9"/>
  <c r="EV78" i="9"/>
  <c r="EW78" i="9"/>
  <c r="EX78" i="9"/>
  <c r="EY78" i="9"/>
  <c r="EZ78" i="9"/>
  <c r="FA78" i="9"/>
  <c r="FB78" i="9"/>
  <c r="FC78" i="9"/>
  <c r="FD78" i="9"/>
  <c r="FE78" i="9"/>
  <c r="FF78" i="9"/>
  <c r="FG78" i="9"/>
  <c r="FH78" i="9"/>
  <c r="FI78" i="9"/>
  <c r="FJ78" i="9"/>
  <c r="FK78" i="9"/>
  <c r="FL78" i="9"/>
  <c r="FM78" i="9"/>
  <c r="FN78" i="9"/>
  <c r="FO78" i="9"/>
  <c r="FP78" i="9"/>
  <c r="FQ78" i="9"/>
  <c r="FR78" i="9"/>
  <c r="FS78" i="9"/>
  <c r="FT78" i="9"/>
  <c r="FU78" i="9"/>
  <c r="FV78" i="9"/>
  <c r="FW78" i="9"/>
  <c r="FX78" i="9"/>
  <c r="FY78" i="9"/>
  <c r="FZ78" i="9"/>
  <c r="GA78" i="9"/>
  <c r="GB78" i="9"/>
  <c r="GC78" i="9"/>
  <c r="GD78" i="9"/>
  <c r="D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BA42" i="9"/>
  <c r="BB42" i="9"/>
  <c r="BC42" i="9"/>
  <c r="BD42" i="9"/>
  <c r="BE42" i="9"/>
  <c r="BF42" i="9"/>
  <c r="BG42" i="9"/>
  <c r="BH42" i="9"/>
  <c r="BI42" i="9"/>
  <c r="BJ42" i="9"/>
  <c r="BK42" i="9"/>
  <c r="BL42" i="9"/>
  <c r="BM42" i="9"/>
  <c r="BN42" i="9"/>
  <c r="BO42" i="9"/>
  <c r="BP42" i="9"/>
  <c r="BQ42" i="9"/>
  <c r="BR42" i="9"/>
  <c r="BS42" i="9"/>
  <c r="BT42" i="9"/>
  <c r="BU42" i="9"/>
  <c r="BV42" i="9"/>
  <c r="BW42" i="9"/>
  <c r="BX42" i="9"/>
  <c r="BY42" i="9"/>
  <c r="BZ42" i="9"/>
  <c r="CA42" i="9"/>
  <c r="CB42" i="9"/>
  <c r="CC42" i="9"/>
  <c r="CD42" i="9"/>
  <c r="CE42" i="9"/>
  <c r="CF42" i="9"/>
  <c r="CG42" i="9"/>
  <c r="CH42" i="9"/>
  <c r="CI42" i="9"/>
  <c r="CJ42" i="9"/>
  <c r="CK42" i="9"/>
  <c r="CL42" i="9"/>
  <c r="CM42" i="9"/>
  <c r="CN42" i="9"/>
  <c r="CO42" i="9"/>
  <c r="CR42" i="9"/>
  <c r="CS42" i="9"/>
  <c r="CT42" i="9"/>
  <c r="CV42" i="9"/>
  <c r="CW42" i="9"/>
  <c r="CX42" i="9"/>
  <c r="CY42" i="9"/>
  <c r="CZ42" i="9"/>
  <c r="DA42" i="9"/>
  <c r="DB42" i="9"/>
  <c r="DC42" i="9"/>
  <c r="DD42" i="9"/>
  <c r="DE42" i="9"/>
  <c r="DF42" i="9"/>
  <c r="DG42" i="9"/>
  <c r="DI42" i="9"/>
  <c r="DJ42" i="9"/>
  <c r="DK42" i="9"/>
  <c r="DL42" i="9"/>
  <c r="DM42" i="9"/>
  <c r="DN42" i="9"/>
  <c r="DO42" i="9"/>
  <c r="DP42" i="9"/>
  <c r="DQ42" i="9"/>
  <c r="DR42" i="9"/>
  <c r="DS42" i="9"/>
  <c r="DT42" i="9"/>
  <c r="DU42" i="9"/>
  <c r="DV42" i="9"/>
  <c r="DW42" i="9"/>
  <c r="DX42" i="9"/>
  <c r="DY42" i="9"/>
  <c r="DZ42" i="9"/>
  <c r="EB42" i="9"/>
  <c r="EC42" i="9"/>
  <c r="ED42" i="9"/>
  <c r="EE42" i="9"/>
  <c r="EF42" i="9"/>
  <c r="EG42" i="9"/>
  <c r="EH42" i="9"/>
  <c r="EI42" i="9"/>
  <c r="EJ42" i="9"/>
  <c r="EK42" i="9"/>
  <c r="EL42" i="9"/>
  <c r="EM42" i="9"/>
  <c r="EN42" i="9"/>
  <c r="EO42" i="9"/>
  <c r="EP42" i="9"/>
  <c r="EQ42" i="9"/>
  <c r="ER42" i="9"/>
  <c r="ES42" i="9"/>
  <c r="ET42" i="9"/>
  <c r="EU42" i="9"/>
  <c r="EV42" i="9"/>
  <c r="EW42" i="9"/>
  <c r="EX42" i="9"/>
  <c r="EY42" i="9"/>
  <c r="EZ42" i="9"/>
  <c r="FA42" i="9"/>
  <c r="FB42" i="9"/>
  <c r="FC42" i="9"/>
  <c r="FD42" i="9"/>
  <c r="FE42" i="9"/>
  <c r="FF42" i="9"/>
  <c r="FG42" i="9"/>
  <c r="FH42" i="9"/>
  <c r="FI42" i="9"/>
  <c r="FJ42" i="9"/>
  <c r="FK42" i="9"/>
  <c r="FL42" i="9"/>
  <c r="FM42" i="9"/>
  <c r="FN42" i="9"/>
  <c r="FO42" i="9"/>
  <c r="FP42" i="9"/>
  <c r="FQ42" i="9"/>
  <c r="FR42" i="9"/>
  <c r="FS42" i="9"/>
  <c r="FT42" i="9"/>
  <c r="FU42" i="9"/>
  <c r="FV42" i="9"/>
  <c r="FW42" i="9"/>
  <c r="FX42" i="9"/>
  <c r="FY42" i="9"/>
  <c r="FZ42" i="9"/>
  <c r="GA42" i="9"/>
  <c r="GB42" i="9"/>
  <c r="GC42" i="9"/>
  <c r="GD42" i="9"/>
  <c r="C42" i="9"/>
  <c r="EQ914" i="9" l="1"/>
  <c r="EQ937" i="9" s="1"/>
  <c r="DC924" i="9"/>
  <c r="DC937" i="9" s="1"/>
  <c r="EM918" i="9"/>
  <c r="EM937" i="9" s="1"/>
  <c r="EK910" i="9"/>
  <c r="FE906" i="9"/>
  <c r="FE937" i="9" s="1"/>
  <c r="FJ927" i="9"/>
  <c r="FJ937" i="9" s="1"/>
  <c r="FL911" i="9"/>
  <c r="FL937" i="9" s="1"/>
  <c r="FZ922" i="9"/>
  <c r="FZ937" i="9" s="1"/>
  <c r="GB919" i="9"/>
  <c r="GB937" i="9" s="1"/>
  <c r="EL921" i="9"/>
  <c r="EL937" i="9" s="1"/>
  <c r="FK915" i="9"/>
  <c r="FK937" i="9" s="1"/>
  <c r="EJ923" i="9"/>
  <c r="EJ937" i="9" s="1"/>
  <c r="GA917" i="9"/>
  <c r="GA937" i="9" s="1"/>
  <c r="DW916" i="9"/>
  <c r="DW937" i="9" s="1"/>
  <c r="ES912" i="9"/>
  <c r="ES937" i="9" s="1"/>
  <c r="ER920" i="9"/>
  <c r="ER937" i="9" s="1"/>
  <c r="FA913" i="9"/>
  <c r="FA937" i="9" s="1"/>
  <c r="FB913" i="9"/>
  <c r="FB937" i="9" s="1"/>
  <c r="FC913" i="9"/>
  <c r="FC937" i="9" s="1"/>
  <c r="C1138" i="9" l="1"/>
  <c r="EI1084" i="9" l="1"/>
  <c r="EI1158" i="9" s="1"/>
  <c r="FJ796" i="9"/>
  <c r="FJ805" i="9" s="1"/>
  <c r="C771" i="9"/>
  <c r="FC790" i="9"/>
  <c r="FE786" i="9"/>
  <c r="FE805" i="9" s="1"/>
  <c r="DW801" i="9"/>
  <c r="DW805" i="9" s="1"/>
  <c r="EM797" i="9"/>
  <c r="EM805" i="9" s="1"/>
  <c r="EK774" i="9"/>
  <c r="EK805" i="9" s="1"/>
  <c r="EQ799" i="9"/>
  <c r="EQ805" i="9" s="1"/>
  <c r="FZ798" i="9"/>
  <c r="FZ805" i="9" s="1"/>
  <c r="EG795" i="9"/>
  <c r="EG805" i="9" s="1"/>
  <c r="EH803" i="9" l="1"/>
  <c r="EH805" i="9" s="1"/>
  <c r="EP802" i="9"/>
  <c r="EP805" i="9" s="1"/>
  <c r="EJ794" i="9"/>
  <c r="EJ805" i="9" s="1"/>
  <c r="GA775" i="9"/>
  <c r="GA805" i="9" s="1"/>
  <c r="GB788" i="9"/>
  <c r="GB805" i="9" s="1"/>
  <c r="FK789" i="9"/>
  <c r="FK805" i="9" s="1"/>
  <c r="FL793" i="9"/>
  <c r="FL805" i="9" s="1"/>
  <c r="EX787" i="9"/>
  <c r="EX805" i="9" s="1"/>
  <c r="ER791" i="9"/>
  <c r="ER805" i="9" s="1"/>
  <c r="EL776" i="9"/>
  <c r="EL805" i="9" s="1"/>
  <c r="R785" i="9" l="1"/>
  <c r="R805" i="9" s="1"/>
  <c r="L784" i="9"/>
  <c r="L805" i="9" s="1"/>
  <c r="K783" i="9"/>
  <c r="K805" i="9" s="1"/>
  <c r="Q782" i="9"/>
  <c r="Q805" i="9" s="1"/>
  <c r="O781" i="9"/>
  <c r="O805" i="9" s="1"/>
  <c r="J780" i="9"/>
  <c r="J805" i="9" s="1"/>
  <c r="P779" i="9"/>
  <c r="P805" i="9" s="1"/>
  <c r="N778" i="9"/>
  <c r="N805" i="9" s="1"/>
  <c r="ES792" i="9"/>
  <c r="ES805" i="9" s="1"/>
  <c r="EK534" i="9"/>
  <c r="EK640" i="9" s="1"/>
  <c r="FE1057" i="9" l="1"/>
  <c r="FE1158" i="9" s="1"/>
  <c r="EJ1066" i="9"/>
  <c r="EJ1158" i="9" s="1"/>
  <c r="FC1054" i="9"/>
  <c r="FC1158" i="9" s="1"/>
  <c r="FJ1059" i="9"/>
  <c r="FJ1158" i="9" s="1"/>
  <c r="EK1056" i="9"/>
  <c r="EK1158" i="9" s="1"/>
  <c r="ES1053" i="9" l="1"/>
  <c r="ES1158" i="9" s="1"/>
  <c r="EY1060" i="9"/>
  <c r="EY1158" i="9" s="1"/>
  <c r="GB1061" i="9"/>
  <c r="GB1158" i="9" s="1"/>
  <c r="EL1062" i="9"/>
  <c r="EL1158" i="9" s="1"/>
  <c r="DZ1063" i="9"/>
  <c r="DZ1158" i="9" s="1"/>
  <c r="FL1055" i="9"/>
  <c r="FL1158" i="9" s="1"/>
  <c r="C1048" i="9" l="1"/>
  <c r="E155" i="2" l="1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AB155" i="2"/>
  <c r="FA790" i="9" l="1"/>
  <c r="FA805" i="9" s="1"/>
  <c r="FB790" i="9"/>
  <c r="FB805" i="9" s="1"/>
  <c r="AT1038" i="9" l="1"/>
  <c r="AT1158" i="9" s="1"/>
  <c r="C1000" i="9" l="1"/>
  <c r="ES978" i="9" l="1"/>
  <c r="ES1031" i="9" s="1"/>
  <c r="C982" i="9" l="1"/>
  <c r="FE975" i="9" l="1"/>
  <c r="FE1031" i="9" s="1"/>
  <c r="EK974" i="9"/>
  <c r="C969" i="9" l="1"/>
  <c r="EK955" i="9" l="1"/>
  <c r="EK1031" i="9" s="1"/>
  <c r="ER962" i="9"/>
  <c r="ER1031" i="9" s="1"/>
  <c r="FC957" i="9"/>
  <c r="FC1031" i="9" s="1"/>
  <c r="FL959" i="9"/>
  <c r="FL1031" i="9" s="1"/>
  <c r="EH960" i="9"/>
  <c r="EH1031" i="9" s="1"/>
  <c r="CS947" i="9" l="1"/>
  <c r="CS1031" i="9" s="1"/>
  <c r="C947" i="9"/>
  <c r="E138" i="2" l="1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AB138" i="2"/>
  <c r="V535" i="9" l="1"/>
  <c r="O535" i="9"/>
  <c r="O640" i="9" s="1"/>
  <c r="FE538" i="9"/>
  <c r="FE640" i="9" s="1"/>
  <c r="ES539" i="9"/>
  <c r="ES640" i="9" s="1"/>
  <c r="EL541" i="9"/>
  <c r="EL640" i="9" s="1"/>
  <c r="FQ529" i="9"/>
  <c r="FQ640" i="9" s="1"/>
  <c r="EU529" i="9"/>
  <c r="EU640" i="9" s="1"/>
  <c r="FC531" i="9"/>
  <c r="FC640" i="9" s="1"/>
  <c r="EK473" i="9"/>
  <c r="DW544" i="9"/>
  <c r="DW640" i="9" s="1"/>
  <c r="FK546" i="9"/>
  <c r="FK640" i="9" s="1"/>
  <c r="GB532" i="9"/>
  <c r="GB640" i="9" s="1"/>
  <c r="FZ545" i="9"/>
  <c r="FZ640" i="9" s="1"/>
  <c r="EJ542" i="9"/>
  <c r="EJ640" i="9" s="1"/>
  <c r="EM540" i="9"/>
  <c r="EM640" i="9" s="1"/>
  <c r="FL537" i="9"/>
  <c r="FL640" i="9" s="1"/>
  <c r="P535" i="9"/>
  <c r="P640" i="9" s="1"/>
  <c r="N535" i="9"/>
  <c r="N640" i="9" s="1"/>
  <c r="Q535" i="9"/>
  <c r="FB531" i="9"/>
  <c r="FB640" i="9" s="1"/>
  <c r="FA531" i="9"/>
  <c r="FA640" i="9" s="1"/>
  <c r="E27" i="2" l="1"/>
  <c r="F27" i="2"/>
  <c r="G27" i="2"/>
  <c r="H27" i="2"/>
  <c r="I27" i="2"/>
  <c r="J27" i="2"/>
  <c r="L27" i="2"/>
  <c r="N27" i="2"/>
  <c r="O27" i="2"/>
  <c r="P27" i="2"/>
  <c r="Q27" i="2"/>
  <c r="R27" i="2"/>
  <c r="S27" i="2"/>
  <c r="T27" i="2"/>
  <c r="V27" i="2"/>
  <c r="W27" i="2"/>
  <c r="X27" i="2"/>
  <c r="Y27" i="2"/>
  <c r="Z27" i="2"/>
  <c r="AA27" i="2"/>
  <c r="AB27" i="2"/>
  <c r="C874" i="9" l="1"/>
  <c r="AE943" i="9" l="1"/>
  <c r="AE1031" i="9" s="1"/>
  <c r="BI943" i="9"/>
  <c r="BJ943" i="9"/>
  <c r="BL943" i="9"/>
  <c r="BM943" i="9"/>
  <c r="BM1031" i="9" s="1"/>
  <c r="BN943" i="9"/>
  <c r="BN1031" i="9" s="1"/>
  <c r="BO943" i="9"/>
  <c r="BP943" i="9"/>
  <c r="BP1031" i="9" s="1"/>
  <c r="BO1031" i="9" l="1"/>
  <c r="BO1038" i="9" s="1"/>
  <c r="BO1158" i="9" s="1"/>
  <c r="BJ1031" i="9"/>
  <c r="BJ1038" i="9" s="1"/>
  <c r="BJ1158" i="9" s="1"/>
  <c r="BM1038" i="9"/>
  <c r="BM1158" i="9" s="1"/>
  <c r="BL1031" i="9"/>
  <c r="BL1038" i="9" s="1"/>
  <c r="BL1158" i="9" s="1"/>
  <c r="BI1031" i="9"/>
  <c r="BI1038" i="9" s="1"/>
  <c r="BI1158" i="9" s="1"/>
  <c r="C872" i="9"/>
  <c r="EL480" i="9" l="1"/>
  <c r="EL485" i="9" s="1"/>
  <c r="FC479" i="9"/>
  <c r="FL478" i="9"/>
  <c r="FE475" i="9"/>
  <c r="ER477" i="9"/>
  <c r="ES476" i="9" l="1"/>
  <c r="EY843" i="9" l="1"/>
  <c r="EY937" i="9" s="1"/>
  <c r="C843" i="9"/>
  <c r="AC830" i="9" l="1"/>
  <c r="C830" i="9"/>
  <c r="EK829" i="9" l="1"/>
  <c r="EK937" i="9" s="1"/>
  <c r="C829" i="9"/>
  <c r="AP812" i="9" l="1"/>
  <c r="AP937" i="9" s="1"/>
  <c r="AP943" i="9" l="1"/>
  <c r="AZ812" i="9"/>
  <c r="AZ937" i="9" s="1"/>
  <c r="AX812" i="9"/>
  <c r="AX937" i="9" s="1"/>
  <c r="AV812" i="9"/>
  <c r="AV937" i="9" s="1"/>
  <c r="AS812" i="9"/>
  <c r="AS937" i="9" s="1"/>
  <c r="AR812" i="9"/>
  <c r="AR937" i="9" s="1"/>
  <c r="AF812" i="9"/>
  <c r="AF937" i="9" s="1"/>
  <c r="AA812" i="9"/>
  <c r="AA937" i="9" s="1"/>
  <c r="Z812" i="9"/>
  <c r="Z937" i="9" s="1"/>
  <c r="W812" i="9"/>
  <c r="W937" i="9" s="1"/>
  <c r="U812" i="9"/>
  <c r="U937" i="9" s="1"/>
  <c r="Q812" i="9"/>
  <c r="Q937" i="9" s="1"/>
  <c r="M812" i="9"/>
  <c r="M937" i="9" s="1"/>
  <c r="AP1031" i="9" l="1"/>
  <c r="AP1038" i="9" s="1"/>
  <c r="AP1158" i="9" s="1"/>
  <c r="M943" i="9"/>
  <c r="AF943" i="9"/>
  <c r="AR943" i="9"/>
  <c r="AS943" i="9"/>
  <c r="Q943" i="9"/>
  <c r="AV943" i="9"/>
  <c r="U943" i="9"/>
  <c r="AX943" i="9"/>
  <c r="W943" i="9"/>
  <c r="W1031" i="9" s="1"/>
  <c r="AZ943" i="9"/>
  <c r="Z943" i="9"/>
  <c r="Z1031" i="9" s="1"/>
  <c r="AA943" i="9"/>
  <c r="AA1031" i="9" s="1"/>
  <c r="C758" i="9"/>
  <c r="Q1031" i="9" l="1"/>
  <c r="Q1038" i="9" s="1"/>
  <c r="Q1158" i="9" s="1"/>
  <c r="AS1031" i="9"/>
  <c r="AS1038" i="9" s="1"/>
  <c r="AS1158" i="9" s="1"/>
  <c r="AZ1031" i="9"/>
  <c r="AZ1038" i="9" s="1"/>
  <c r="AZ1158" i="9" s="1"/>
  <c r="M1031" i="9"/>
  <c r="M1038" i="9" s="1"/>
  <c r="M1158" i="9" s="1"/>
  <c r="AV1031" i="9"/>
  <c r="AV1038" i="9" s="1"/>
  <c r="AV1158" i="9" s="1"/>
  <c r="AR1031" i="9"/>
  <c r="AR1038" i="9" s="1"/>
  <c r="AR1158" i="9" s="1"/>
  <c r="AF1031" i="9"/>
  <c r="AF1038" i="9" s="1"/>
  <c r="AF1158" i="9" s="1"/>
  <c r="AX1031" i="9"/>
  <c r="AX1038" i="9" s="1"/>
  <c r="AX1158" i="9" s="1"/>
  <c r="U1031" i="9"/>
  <c r="U1038" i="9" s="1"/>
  <c r="U1158" i="9" s="1"/>
  <c r="C752" i="9"/>
  <c r="E117" i="2" l="1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C730" i="9" l="1"/>
  <c r="C729" i="9"/>
  <c r="C728" i="9"/>
  <c r="C722" i="9"/>
  <c r="C720" i="9"/>
  <c r="C695" i="9" l="1"/>
  <c r="C690" i="9"/>
  <c r="FC690" i="9"/>
  <c r="FC805" i="9" s="1"/>
  <c r="C669" i="9" l="1"/>
  <c r="E94" i="2" l="1"/>
  <c r="F94" i="2"/>
  <c r="G94" i="2"/>
  <c r="I94" i="2"/>
  <c r="J94" i="2"/>
  <c r="K94" i="2"/>
  <c r="L94" i="2"/>
  <c r="M94" i="2"/>
  <c r="N94" i="2"/>
  <c r="O94" i="2"/>
  <c r="P94" i="2"/>
  <c r="Q94" i="2"/>
  <c r="R94" i="2"/>
  <c r="S94" i="2"/>
  <c r="S99" i="2" s="1"/>
  <c r="S117" i="2" s="1"/>
  <c r="S123" i="2" s="1"/>
  <c r="S138" i="2" s="1"/>
  <c r="S143" i="2" s="1"/>
  <c r="S155" i="2" s="1"/>
  <c r="S162" i="2" s="1"/>
  <c r="S181" i="2" s="1"/>
  <c r="T94" i="2"/>
  <c r="T99" i="2" s="1"/>
  <c r="T117" i="2" s="1"/>
  <c r="T123" i="2" s="1"/>
  <c r="T138" i="2" s="1"/>
  <c r="T143" i="2" s="1"/>
  <c r="T155" i="2" s="1"/>
  <c r="T162" i="2" s="1"/>
  <c r="T181" i="2" s="1"/>
  <c r="C653" i="9" l="1"/>
  <c r="C650" i="9"/>
  <c r="C630" i="9" l="1"/>
  <c r="I645" i="9" l="1"/>
  <c r="AC645" i="9"/>
  <c r="AO645" i="9"/>
  <c r="AW645" i="9"/>
  <c r="DM645" i="9"/>
  <c r="DN645" i="9"/>
  <c r="DN805" i="9" l="1"/>
  <c r="DN812" i="9" s="1"/>
  <c r="DN937" i="9" s="1"/>
  <c r="DN943" i="9" s="1"/>
  <c r="DM805" i="9"/>
  <c r="DM812" i="9" s="1"/>
  <c r="DM937" i="9" s="1"/>
  <c r="DM943" i="9" s="1"/>
  <c r="AW805" i="9"/>
  <c r="AW812" i="9" s="1"/>
  <c r="AW937" i="9" s="1"/>
  <c r="AW943" i="9" s="1"/>
  <c r="AO805" i="9"/>
  <c r="AO812" i="9" s="1"/>
  <c r="AO937" i="9" s="1"/>
  <c r="AO943" i="9" s="1"/>
  <c r="AC805" i="9"/>
  <c r="AC812" i="9" s="1"/>
  <c r="AC937" i="9" s="1"/>
  <c r="AC943" i="9" s="1"/>
  <c r="I805" i="9"/>
  <c r="I812" i="9" s="1"/>
  <c r="I937" i="9" s="1"/>
  <c r="I943" i="9" s="1"/>
  <c r="C615" i="9"/>
  <c r="AO1031" i="9" l="1"/>
  <c r="AO1038" i="9" s="1"/>
  <c r="AO1158" i="9" s="1"/>
  <c r="I1031" i="9"/>
  <c r="I1038" i="9" s="1"/>
  <c r="I1158" i="9" s="1"/>
  <c r="AW1031" i="9"/>
  <c r="AW1038" i="9" s="1"/>
  <c r="AW1158" i="9" s="1"/>
  <c r="AC1031" i="9"/>
  <c r="AC1038" i="9" s="1"/>
  <c r="AC1158" i="9" s="1"/>
  <c r="DM1031" i="9"/>
  <c r="DM1038" i="9" s="1"/>
  <c r="DM1158" i="9" s="1"/>
  <c r="DN1031" i="9"/>
  <c r="DN1038" i="9" s="1"/>
  <c r="DN1158" i="9" s="1"/>
  <c r="EK454" i="9"/>
  <c r="C578" i="8"/>
  <c r="B578" i="8"/>
  <c r="AY366" i="9" l="1"/>
  <c r="AY485" i="9" s="1"/>
  <c r="AY489" i="9" l="1"/>
  <c r="AY640" i="9" s="1"/>
  <c r="C596" i="9"/>
  <c r="C574" i="9"/>
  <c r="AY645" i="9" l="1"/>
  <c r="C333" i="9"/>
  <c r="AY805" i="9" l="1"/>
  <c r="AY812" i="9" s="1"/>
  <c r="AY937" i="9" s="1"/>
  <c r="AY943" i="9" s="1"/>
  <c r="C570" i="9"/>
  <c r="AY1031" i="9" l="1"/>
  <c r="AY1038" i="9" s="1"/>
  <c r="AY1158" i="9" s="1"/>
  <c r="C581" i="9"/>
  <c r="C559" i="8" l="1"/>
  <c r="B559" i="8"/>
  <c r="C498" i="8" l="1"/>
  <c r="B498" i="8"/>
  <c r="C484" i="8"/>
  <c r="B484" i="8"/>
  <c r="C472" i="8" l="1"/>
  <c r="B465" i="8"/>
  <c r="B457" i="8"/>
  <c r="B454" i="8"/>
  <c r="B472" i="8" s="1"/>
  <c r="C443" i="8"/>
  <c r="B443" i="8"/>
  <c r="FP313" i="9"/>
  <c r="EM319" i="9"/>
  <c r="EM361" i="9" s="1"/>
  <c r="EL317" i="9"/>
  <c r="FC316" i="9"/>
  <c r="Y73" i="2" l="1"/>
  <c r="BD450" i="9"/>
  <c r="F74" i="2" l="1"/>
  <c r="G74" i="2"/>
  <c r="I74" i="2"/>
  <c r="J74" i="2"/>
  <c r="K74" i="2"/>
  <c r="L74" i="2"/>
  <c r="M74" i="2"/>
  <c r="O74" i="2"/>
  <c r="P74" i="2"/>
  <c r="Q74" i="2"/>
  <c r="R74" i="2"/>
  <c r="Q489" i="9" l="1"/>
  <c r="Q640" i="9" s="1"/>
  <c r="S489" i="9"/>
  <c r="S640" i="9" s="1"/>
  <c r="V489" i="9"/>
  <c r="V640" i="9" s="1"/>
  <c r="W489" i="9"/>
  <c r="W640" i="9" s="1"/>
  <c r="Y489" i="9"/>
  <c r="Y640" i="9" s="1"/>
  <c r="Z489" i="9"/>
  <c r="Z640" i="9" s="1"/>
  <c r="AA489" i="9"/>
  <c r="AA640" i="9" s="1"/>
  <c r="AJ489" i="9"/>
  <c r="AJ640" i="9" s="1"/>
  <c r="AU489" i="9"/>
  <c r="AU640" i="9" s="1"/>
  <c r="BC489" i="9"/>
  <c r="BC640" i="9" s="1"/>
  <c r="BI489" i="9"/>
  <c r="BI640" i="9" s="1"/>
  <c r="BL489" i="9"/>
  <c r="BL640" i="9" s="1"/>
  <c r="BM489" i="9"/>
  <c r="BM640" i="9" s="1"/>
  <c r="BN489" i="9"/>
  <c r="BN640" i="9" s="1"/>
  <c r="BP489" i="9"/>
  <c r="BP640" i="9" s="1"/>
  <c r="AJ645" i="9" l="1"/>
  <c r="BM645" i="9"/>
  <c r="BM805" i="9" s="1"/>
  <c r="Y645" i="9"/>
  <c r="BL645" i="9"/>
  <c r="BL805" i="9" s="1"/>
  <c r="V645" i="9"/>
  <c r="S645" i="9"/>
  <c r="BC645" i="9"/>
  <c r="AU645" i="9"/>
  <c r="F66" i="2"/>
  <c r="G66" i="2"/>
  <c r="I66" i="2"/>
  <c r="J66" i="2"/>
  <c r="K66" i="2"/>
  <c r="L66" i="2"/>
  <c r="M66" i="2"/>
  <c r="O66" i="2"/>
  <c r="P66" i="2"/>
  <c r="Q66" i="2"/>
  <c r="R66" i="2"/>
  <c r="Z66" i="2"/>
  <c r="Z70" i="2" s="1"/>
  <c r="Z74" i="2" s="1"/>
  <c r="Z80" i="2" s="1"/>
  <c r="Z94" i="2" s="1"/>
  <c r="Z99" i="2" s="1"/>
  <c r="Z117" i="2" s="1"/>
  <c r="Z123" i="2" s="1"/>
  <c r="Z138" i="2" s="1"/>
  <c r="Z143" i="2" s="1"/>
  <c r="Z155" i="2" s="1"/>
  <c r="Z162" i="2" s="1"/>
  <c r="Z181" i="2" s="1"/>
  <c r="AA66" i="2"/>
  <c r="BC805" i="9" l="1"/>
  <c r="BC812" i="9" s="1"/>
  <c r="BC937" i="9" s="1"/>
  <c r="BC943" i="9" s="1"/>
  <c r="V805" i="9"/>
  <c r="V812" i="9" s="1"/>
  <c r="V937" i="9" s="1"/>
  <c r="V943" i="9" s="1"/>
  <c r="AU805" i="9"/>
  <c r="AU812" i="9" s="1"/>
  <c r="AU937" i="9" s="1"/>
  <c r="AU943" i="9" s="1"/>
  <c r="S805" i="9"/>
  <c r="S812" i="9" s="1"/>
  <c r="S937" i="9" s="1"/>
  <c r="S943" i="9" s="1"/>
  <c r="AJ805" i="9"/>
  <c r="AJ812" i="9" s="1"/>
  <c r="AJ937" i="9" s="1"/>
  <c r="AJ943" i="9" s="1"/>
  <c r="Y805" i="9"/>
  <c r="Y812" i="9" s="1"/>
  <c r="Y937" i="9" s="1"/>
  <c r="Y943" i="9" s="1"/>
  <c r="FQ445" i="9"/>
  <c r="FQ485" i="9" s="1"/>
  <c r="C445" i="9"/>
  <c r="AJ1031" i="9" l="1"/>
  <c r="AJ1038" i="9" s="1"/>
  <c r="AJ1158" i="9" s="1"/>
  <c r="AU1031" i="9"/>
  <c r="AU1038" i="9" s="1"/>
  <c r="AU1158" i="9" s="1"/>
  <c r="S1031" i="9"/>
  <c r="S1038" i="9" s="1"/>
  <c r="S1158" i="9" s="1"/>
  <c r="V1031" i="9"/>
  <c r="V1038" i="9" s="1"/>
  <c r="V1158" i="9" s="1"/>
  <c r="BC1031" i="9"/>
  <c r="BC1038" i="9" s="1"/>
  <c r="BC1158" i="9" s="1"/>
  <c r="Y1031" i="9"/>
  <c r="Y1038" i="9" s="1"/>
  <c r="Y1158" i="9" s="1"/>
  <c r="C429" i="8"/>
  <c r="B429" i="8"/>
  <c r="C408" i="8" l="1"/>
  <c r="B408" i="8"/>
  <c r="C387" i="8" l="1"/>
  <c r="B387" i="8"/>
  <c r="C370" i="8"/>
  <c r="B370" i="8"/>
  <c r="CY238" i="9"/>
  <c r="CY361" i="9" s="1"/>
  <c r="DK174" i="9"/>
  <c r="DK176" i="9"/>
  <c r="DK175" i="9"/>
  <c r="DK173" i="9"/>
  <c r="CW172" i="9"/>
  <c r="CW230" i="9" s="1"/>
  <c r="CN171" i="9"/>
  <c r="CN230" i="9" s="1"/>
  <c r="FQ220" i="9"/>
  <c r="FQ219" i="9"/>
  <c r="FQ218" i="9"/>
  <c r="EK197" i="9"/>
  <c r="DK230" i="9" l="1"/>
  <c r="EK300" i="9"/>
  <c r="FD301" i="9"/>
  <c r="FE302" i="9"/>
  <c r="EK395" i="9" l="1"/>
  <c r="EK485" i="9" s="1"/>
  <c r="FC396" i="9"/>
  <c r="FC485" i="9" s="1"/>
  <c r="FE397" i="9"/>
  <c r="FE485" i="9" s="1"/>
  <c r="EQ399" i="9"/>
  <c r="EQ485" i="9" s="1"/>
  <c r="FL398" i="9"/>
  <c r="FL485" i="9" s="1"/>
  <c r="ET400" i="9"/>
  <c r="ET485" i="9" s="1"/>
  <c r="ES404" i="9"/>
  <c r="ES485" i="9" s="1"/>
  <c r="ER403" i="9"/>
  <c r="ER485" i="9" s="1"/>
  <c r="FA401" i="9"/>
  <c r="FA485" i="9" s="1"/>
  <c r="EE402" i="9"/>
  <c r="EE485" i="9" s="1"/>
  <c r="ED402" i="9"/>
  <c r="ED485" i="9" s="1"/>
  <c r="DZ402" i="9"/>
  <c r="DZ485" i="9" s="1"/>
  <c r="DY402" i="9"/>
  <c r="DY485" i="9" s="1"/>
  <c r="FM402" i="9"/>
  <c r="FM485" i="9" s="1"/>
  <c r="B533" i="8" l="1"/>
  <c r="C533" i="8"/>
  <c r="AB405" i="9" l="1"/>
  <c r="AB399" i="9"/>
  <c r="AB402" i="9"/>
  <c r="AB397" i="9"/>
  <c r="AB396" i="9"/>
  <c r="AB398" i="9"/>
  <c r="AB406" i="9"/>
  <c r="AB401" i="9"/>
  <c r="AB403" i="9"/>
  <c r="AB404" i="9"/>
  <c r="AB407" i="9"/>
  <c r="AB400" i="9"/>
  <c r="AB395" i="9" l="1"/>
  <c r="AD366" i="9" l="1"/>
  <c r="AD485" i="9" s="1"/>
  <c r="AD489" i="9" l="1"/>
  <c r="AD640" i="9" s="1"/>
  <c r="C380" i="9"/>
  <c r="AD645" i="9" l="1"/>
  <c r="AD805" i="9" l="1"/>
  <c r="AD812" i="9" s="1"/>
  <c r="AD937" i="9" s="1"/>
  <c r="AD943" i="9" s="1"/>
  <c r="AD1031" i="9" s="1"/>
  <c r="DO235" i="9"/>
  <c r="FB235" i="9"/>
  <c r="FA235" i="9"/>
  <c r="GD138" i="9"/>
  <c r="GD230" i="9" s="1"/>
  <c r="GD235" i="9" s="1"/>
  <c r="GD361" i="9" s="1"/>
  <c r="FX138" i="9"/>
  <c r="FX230" i="9" s="1"/>
  <c r="FW138" i="9"/>
  <c r="FW230" i="9" s="1"/>
  <c r="FV138" i="9"/>
  <c r="FV230" i="9" s="1"/>
  <c r="FV235" i="9" s="1"/>
  <c r="FV361" i="9" s="1"/>
  <c r="FU138" i="9"/>
  <c r="FU230" i="9" s="1"/>
  <c r="FS138" i="9"/>
  <c r="FS230" i="9" s="1"/>
  <c r="FR138" i="9"/>
  <c r="FR230" i="9" s="1"/>
  <c r="FQ138" i="9"/>
  <c r="FQ230" i="9" s="1"/>
  <c r="FP138" i="9"/>
  <c r="FP230" i="9" s="1"/>
  <c r="FP235" i="9" s="1"/>
  <c r="FP361" i="9" s="1"/>
  <c r="FO138" i="9"/>
  <c r="FO230" i="9" s="1"/>
  <c r="FO235" i="9" s="1"/>
  <c r="FO361" i="9" s="1"/>
  <c r="FN138" i="9"/>
  <c r="FN230" i="9" s="1"/>
  <c r="FN235" i="9" s="1"/>
  <c r="FM138" i="9"/>
  <c r="FM230" i="9" s="1"/>
  <c r="FM235" i="9" s="1"/>
  <c r="FM361" i="9" s="1"/>
  <c r="FG138" i="9"/>
  <c r="FG230" i="9" s="1"/>
  <c r="FD138" i="9"/>
  <c r="FD230" i="9" s="1"/>
  <c r="FD235" i="9" s="1"/>
  <c r="FD361" i="9" s="1"/>
  <c r="FB138" i="9"/>
  <c r="FB230" i="9" s="1"/>
  <c r="FA138" i="9"/>
  <c r="FA230" i="9" s="1"/>
  <c r="EZ138" i="9"/>
  <c r="EZ230" i="9" s="1"/>
  <c r="EZ235" i="9" s="1"/>
  <c r="EZ361" i="9" s="1"/>
  <c r="EW138" i="9"/>
  <c r="EW230" i="9" s="1"/>
  <c r="EW235" i="9" s="1"/>
  <c r="EW361" i="9" s="1"/>
  <c r="EV138" i="9"/>
  <c r="EV230" i="9" s="1"/>
  <c r="EV235" i="9" s="1"/>
  <c r="EV361" i="9" s="1"/>
  <c r="EU138" i="9"/>
  <c r="EU230" i="9" s="1"/>
  <c r="EU235" i="9" s="1"/>
  <c r="EP138" i="9"/>
  <c r="EP230" i="9" s="1"/>
  <c r="EO138" i="9"/>
  <c r="EO230" i="9" s="1"/>
  <c r="EN138" i="9"/>
  <c r="EN230" i="9" s="1"/>
  <c r="EM138" i="9"/>
  <c r="EM230" i="9" s="1"/>
  <c r="EL138" i="9"/>
  <c r="EL230" i="9" s="1"/>
  <c r="EL235" i="9" s="1"/>
  <c r="EL361" i="9" s="1"/>
  <c r="EH138" i="9"/>
  <c r="EH230" i="9" s="1"/>
  <c r="EH47" i="9"/>
  <c r="EH78" i="9" s="1"/>
  <c r="DO361" i="9" l="1"/>
  <c r="DO366" i="9" s="1"/>
  <c r="DO485" i="9" s="1"/>
  <c r="DO489" i="9" s="1"/>
  <c r="DO640" i="9" s="1"/>
  <c r="T366" i="9"/>
  <c r="T485" i="9" s="1"/>
  <c r="AB366" i="9"/>
  <c r="AB485" i="9" s="1"/>
  <c r="AG366" i="9"/>
  <c r="AG485" i="9" s="1"/>
  <c r="AH366" i="9"/>
  <c r="AH485" i="9" s="1"/>
  <c r="AK366" i="9"/>
  <c r="AK485" i="9" s="1"/>
  <c r="AM366" i="9"/>
  <c r="AM485" i="9" s="1"/>
  <c r="AN366" i="9"/>
  <c r="AN485" i="9" s="1"/>
  <c r="AQ366" i="9"/>
  <c r="AQ485" i="9" s="1"/>
  <c r="BB366" i="9"/>
  <c r="BB485" i="9" s="1"/>
  <c r="BD366" i="9"/>
  <c r="BD485" i="9" s="1"/>
  <c r="BF366" i="9"/>
  <c r="BF485" i="9" s="1"/>
  <c r="BK366" i="9"/>
  <c r="BK485" i="9" s="1"/>
  <c r="GD366" i="9"/>
  <c r="GD485" i="9" s="1"/>
  <c r="DO645" i="9" l="1"/>
  <c r="AM489" i="9"/>
  <c r="AM640" i="9" s="1"/>
  <c r="AH489" i="9"/>
  <c r="AH640" i="9" s="1"/>
  <c r="T489" i="9"/>
  <c r="T640" i="9" s="1"/>
  <c r="GD489" i="9"/>
  <c r="GD640" i="9" s="1"/>
  <c r="AK489" i="9"/>
  <c r="AK640" i="9" s="1"/>
  <c r="BK489" i="9"/>
  <c r="BK640" i="9" s="1"/>
  <c r="BF489" i="9"/>
  <c r="BF640" i="9" s="1"/>
  <c r="AG489" i="9"/>
  <c r="AG640" i="9" s="1"/>
  <c r="BD489" i="9"/>
  <c r="BD640" i="9" s="1"/>
  <c r="AB489" i="9"/>
  <c r="AB640" i="9" s="1"/>
  <c r="BB489" i="9"/>
  <c r="BB640" i="9" s="1"/>
  <c r="AQ489" i="9"/>
  <c r="AQ640" i="9" s="1"/>
  <c r="AN489" i="9"/>
  <c r="AN640" i="9" s="1"/>
  <c r="C326" i="9"/>
  <c r="DO805" i="9" l="1"/>
  <c r="DO812" i="9" s="1"/>
  <c r="DO937" i="9" s="1"/>
  <c r="DO943" i="9" s="1"/>
  <c r="BK645" i="9"/>
  <c r="AN645" i="9"/>
  <c r="AK645" i="9"/>
  <c r="AQ645" i="9"/>
  <c r="T645" i="9"/>
  <c r="AB645" i="9"/>
  <c r="AH645" i="9"/>
  <c r="BD645" i="9"/>
  <c r="AM645" i="9"/>
  <c r="GD645" i="9"/>
  <c r="BB645" i="9"/>
  <c r="AG645" i="9"/>
  <c r="BF645" i="9"/>
  <c r="AL309" i="9"/>
  <c r="FL323" i="9"/>
  <c r="AI298" i="9"/>
  <c r="C307" i="9"/>
  <c r="DL313" i="9"/>
  <c r="DL361" i="9" s="1"/>
  <c r="FE311" i="9"/>
  <c r="EU321" i="9"/>
  <c r="EU361" i="9" s="1"/>
  <c r="EO322" i="9"/>
  <c r="EO361" i="9" s="1"/>
  <c r="FB316" i="9"/>
  <c r="FB361" i="9" s="1"/>
  <c r="FA316" i="9"/>
  <c r="FA361" i="9" s="1"/>
  <c r="FN313" i="9"/>
  <c r="FN361" i="9" s="1"/>
  <c r="ES324" i="9"/>
  <c r="EK320" i="9"/>
  <c r="GD805" i="9" l="1"/>
  <c r="GD812" i="9" s="1"/>
  <c r="GD937" i="9" s="1"/>
  <c r="GD943" i="9" s="1"/>
  <c r="GD1031" i="9" s="1"/>
  <c r="T805" i="9"/>
  <c r="T812" i="9" s="1"/>
  <c r="T937" i="9" s="1"/>
  <c r="T943" i="9" s="1"/>
  <c r="AN805" i="9"/>
  <c r="AN812" i="9" s="1"/>
  <c r="AN937" i="9" s="1"/>
  <c r="AN943" i="9" s="1"/>
  <c r="AM805" i="9"/>
  <c r="AM812" i="9" s="1"/>
  <c r="AM937" i="9" s="1"/>
  <c r="AM943" i="9" s="1"/>
  <c r="BK805" i="9"/>
  <c r="BK812" i="9" s="1"/>
  <c r="BK937" i="9" s="1"/>
  <c r="BK943" i="9" s="1"/>
  <c r="AG805" i="9"/>
  <c r="AG812" i="9" s="1"/>
  <c r="AG937" i="9" s="1"/>
  <c r="AG943" i="9" s="1"/>
  <c r="BB805" i="9"/>
  <c r="BB812" i="9" s="1"/>
  <c r="BB937" i="9" s="1"/>
  <c r="BB943" i="9" s="1"/>
  <c r="AK805" i="9"/>
  <c r="AK812" i="9" s="1"/>
  <c r="AK937" i="9" s="1"/>
  <c r="AK943" i="9" s="1"/>
  <c r="BD805" i="9"/>
  <c r="BD812" i="9" s="1"/>
  <c r="BD937" i="9" s="1"/>
  <c r="BD943" i="9" s="1"/>
  <c r="BF805" i="9"/>
  <c r="BF812" i="9" s="1"/>
  <c r="BF937" i="9" s="1"/>
  <c r="BF943" i="9" s="1"/>
  <c r="AQ805" i="9"/>
  <c r="AQ812" i="9" s="1"/>
  <c r="AQ937" i="9" s="1"/>
  <c r="AQ943" i="9" s="1"/>
  <c r="AH805" i="9"/>
  <c r="AH812" i="9" s="1"/>
  <c r="AH937" i="9" s="1"/>
  <c r="AH943" i="9" s="1"/>
  <c r="AB805" i="9"/>
  <c r="AB812" i="9" s="1"/>
  <c r="AB937" i="9" s="1"/>
  <c r="AB943" i="9" s="1"/>
  <c r="DO1031" i="9"/>
  <c r="DO1038" i="9" s="1"/>
  <c r="DO1158" i="9" s="1"/>
  <c r="DL366" i="9"/>
  <c r="DL485" i="9" s="1"/>
  <c r="AA70" i="2"/>
  <c r="AA74" i="2" s="1"/>
  <c r="AA80" i="2" s="1"/>
  <c r="AA94" i="2" s="1"/>
  <c r="AA99" i="2" s="1"/>
  <c r="AA117" i="2" s="1"/>
  <c r="AA123" i="2" s="1"/>
  <c r="AA138" i="2" s="1"/>
  <c r="AA143" i="2" s="1"/>
  <c r="AA155" i="2" s="1"/>
  <c r="AA162" i="2" s="1"/>
  <c r="AA181" i="2" s="1"/>
  <c r="BK1031" i="9" l="1"/>
  <c r="BK1038" i="9" s="1"/>
  <c r="BK1158" i="9" s="1"/>
  <c r="BB1031" i="9"/>
  <c r="BB1038" i="9" s="1"/>
  <c r="BB1158" i="9" s="1"/>
  <c r="AM1031" i="9"/>
  <c r="AM1038" i="9" s="1"/>
  <c r="AM1158" i="9" s="1"/>
  <c r="AB1031" i="9"/>
  <c r="AB1038" i="9" s="1"/>
  <c r="AB1158" i="9" s="1"/>
  <c r="AN1031" i="9"/>
  <c r="AN1038" i="9" s="1"/>
  <c r="AN1158" i="9" s="1"/>
  <c r="AG1031" i="9"/>
  <c r="AG1038" i="9" s="1"/>
  <c r="AG1158" i="9" s="1"/>
  <c r="AH1031" i="9"/>
  <c r="AH1038" i="9" s="1"/>
  <c r="AH1158" i="9" s="1"/>
  <c r="BF1031" i="9"/>
  <c r="BF1038" i="9" s="1"/>
  <c r="BF1158" i="9" s="1"/>
  <c r="T1031" i="9"/>
  <c r="T1038" i="9" s="1"/>
  <c r="T1158" i="9" s="1"/>
  <c r="AK1031" i="9"/>
  <c r="AK1038" i="9" s="1"/>
  <c r="AK1158" i="9" s="1"/>
  <c r="AQ1031" i="9"/>
  <c r="AQ1038" i="9" s="1"/>
  <c r="AQ1158" i="9" s="1"/>
  <c r="BD1031" i="9"/>
  <c r="BD1038" i="9" s="1"/>
  <c r="BD1158" i="9" s="1"/>
  <c r="DL489" i="9"/>
  <c r="DL640" i="9" s="1"/>
  <c r="DL645" i="9" l="1"/>
  <c r="DL805" i="9" l="1"/>
  <c r="DL812" i="9" s="1"/>
  <c r="DL937" i="9" s="1"/>
  <c r="DL943" i="9" s="1"/>
  <c r="V235" i="9"/>
  <c r="V361" i="9" s="1"/>
  <c r="AI235" i="9"/>
  <c r="AI361" i="9" s="1"/>
  <c r="AL235" i="9"/>
  <c r="AL361" i="9" s="1"/>
  <c r="BA235" i="9"/>
  <c r="BA361" i="9" s="1"/>
  <c r="BE235" i="9"/>
  <c r="DK235" i="9"/>
  <c r="DK361" i="9" s="1"/>
  <c r="EH235" i="9"/>
  <c r="EH361" i="9" s="1"/>
  <c r="EP235" i="9"/>
  <c r="EP361" i="9" s="1"/>
  <c r="FR235" i="9"/>
  <c r="FR361" i="9" s="1"/>
  <c r="FS235" i="9"/>
  <c r="FS361" i="9" s="1"/>
  <c r="FW235" i="9"/>
  <c r="FW361" i="9" s="1"/>
  <c r="BE361" i="9" l="1"/>
  <c r="BE366" i="9" s="1"/>
  <c r="BE485" i="9" s="1"/>
  <c r="BE489" i="9" s="1"/>
  <c r="BE640" i="9" s="1"/>
  <c r="DL1031" i="9"/>
  <c r="DL1038" i="9" s="1"/>
  <c r="DL1158" i="9" s="1"/>
  <c r="FU235" i="9"/>
  <c r="FU361" i="9" s="1"/>
  <c r="FG235" i="9"/>
  <c r="FG361" i="9" s="1"/>
  <c r="AI366" i="9"/>
  <c r="AI485" i="9" s="1"/>
  <c r="AL366" i="9"/>
  <c r="AL485" i="9" s="1"/>
  <c r="DK366" i="9"/>
  <c r="DK485" i="9" s="1"/>
  <c r="BA366" i="9"/>
  <c r="BA485" i="9" s="1"/>
  <c r="FX235" i="9"/>
  <c r="FX361" i="9" s="1"/>
  <c r="C354" i="8"/>
  <c r="B354" i="8"/>
  <c r="BE645" i="9" l="1"/>
  <c r="AL489" i="9"/>
  <c r="AL640" i="9" s="1"/>
  <c r="BA489" i="9"/>
  <c r="BA640" i="9" s="1"/>
  <c r="AI489" i="9"/>
  <c r="AI640" i="9" s="1"/>
  <c r="DK489" i="9"/>
  <c r="DK640" i="9" s="1"/>
  <c r="C329" i="8"/>
  <c r="B329" i="8"/>
  <c r="FC200" i="9"/>
  <c r="C298" i="8"/>
  <c r="B298" i="8"/>
  <c r="C272" i="8"/>
  <c r="B272" i="8"/>
  <c r="FE217" i="9"/>
  <c r="EK214" i="9"/>
  <c r="EY216" i="9"/>
  <c r="FQ235" i="9"/>
  <c r="FQ361" i="9" s="1"/>
  <c r="BE805" i="9" l="1"/>
  <c r="BE812" i="9" s="1"/>
  <c r="BE937" i="9" s="1"/>
  <c r="BE943" i="9" s="1"/>
  <c r="DK645" i="9"/>
  <c r="BA645" i="9"/>
  <c r="AL645" i="9"/>
  <c r="AI645" i="9"/>
  <c r="C154" i="9"/>
  <c r="BE1031" i="9" l="1"/>
  <c r="BE1038" i="9" s="1"/>
  <c r="BE1158" i="9" s="1"/>
  <c r="AI805" i="9"/>
  <c r="AI812" i="9" s="1"/>
  <c r="AI937" i="9" s="1"/>
  <c r="AI943" i="9" s="1"/>
  <c r="BA805" i="9"/>
  <c r="BA812" i="9" s="1"/>
  <c r="BA937" i="9" s="1"/>
  <c r="BA943" i="9" s="1"/>
  <c r="DK805" i="9"/>
  <c r="DK812" i="9" s="1"/>
  <c r="DK937" i="9" s="1"/>
  <c r="DK943" i="9" s="1"/>
  <c r="AL805" i="9"/>
  <c r="AL812" i="9" s="1"/>
  <c r="AL937" i="9" s="1"/>
  <c r="AL943" i="9" s="1"/>
  <c r="F54" i="2"/>
  <c r="G54" i="2"/>
  <c r="I54" i="2"/>
  <c r="J54" i="2"/>
  <c r="K54" i="2"/>
  <c r="L54" i="2"/>
  <c r="M54" i="2"/>
  <c r="O54" i="2"/>
  <c r="P54" i="2"/>
  <c r="Q54" i="2"/>
  <c r="R54" i="2"/>
  <c r="X54" i="2"/>
  <c r="X60" i="2" s="1"/>
  <c r="Y54" i="2"/>
  <c r="Y60" i="2" s="1"/>
  <c r="AL1031" i="9" l="1"/>
  <c r="AL1038" i="9" s="1"/>
  <c r="AL1158" i="9" s="1"/>
  <c r="AI1031" i="9"/>
  <c r="AI1038" i="9" s="1"/>
  <c r="AI1158" i="9" s="1"/>
  <c r="BA1031" i="9"/>
  <c r="BA1038" i="9" s="1"/>
  <c r="BA1158" i="9" s="1"/>
  <c r="DK1031" i="9"/>
  <c r="DK1038" i="9" s="1"/>
  <c r="DK1158" i="9" s="1"/>
  <c r="X66" i="2"/>
  <c r="X70" i="2" s="1"/>
  <c r="X74" i="2" s="1"/>
  <c r="X80" i="2" s="1"/>
  <c r="X94" i="2" s="1"/>
  <c r="X99" i="2" s="1"/>
  <c r="X117" i="2" s="1"/>
  <c r="X123" i="2" s="1"/>
  <c r="X138" i="2" s="1"/>
  <c r="X143" i="2" s="1"/>
  <c r="X155" i="2" s="1"/>
  <c r="X162" i="2" s="1"/>
  <c r="X181" i="2" s="1"/>
  <c r="Y66" i="2"/>
  <c r="Y70" i="2" s="1"/>
  <c r="Y74" i="2" s="1"/>
  <c r="Y80" i="2" s="1"/>
  <c r="Y94" i="2" s="1"/>
  <c r="Y99" i="2" s="1"/>
  <c r="Y117" i="2" s="1"/>
  <c r="Y123" i="2" s="1"/>
  <c r="Y138" i="2" s="1"/>
  <c r="Y143" i="2" s="1"/>
  <c r="Y155" i="2" s="1"/>
  <c r="Y162" i="2" s="1"/>
  <c r="Y181" i="2" s="1"/>
  <c r="C190" i="9"/>
  <c r="S138" i="9" l="1"/>
  <c r="Y138" i="9"/>
  <c r="BH138" i="9"/>
  <c r="DR138" i="9"/>
  <c r="DS138" i="9"/>
  <c r="DX138" i="9"/>
  <c r="EJ138" i="9"/>
  <c r="EK138" i="9"/>
  <c r="EQ138" i="9"/>
  <c r="ER138" i="9"/>
  <c r="ES138" i="9"/>
  <c r="EY138" i="9"/>
  <c r="EY230" i="9" s="1"/>
  <c r="FC138" i="9"/>
  <c r="FC230" i="9" s="1"/>
  <c r="FE138" i="9"/>
  <c r="FF138" i="9"/>
  <c r="FJ138" i="9"/>
  <c r="FK138" i="9"/>
  <c r="FK230" i="9" s="1"/>
  <c r="FL138" i="9"/>
  <c r="DX230" i="9" l="1"/>
  <c r="DX235" i="9" s="1"/>
  <c r="DX361" i="9" s="1"/>
  <c r="EK230" i="9"/>
  <c r="EK235" i="9" s="1"/>
  <c r="EK361" i="9" s="1"/>
  <c r="FE230" i="9"/>
  <c r="FE235" i="9" s="1"/>
  <c r="FE361" i="9" s="1"/>
  <c r="DS230" i="9"/>
  <c r="DS235" i="9" s="1"/>
  <c r="DS361" i="9" s="1"/>
  <c r="FJ230" i="9"/>
  <c r="FJ235" i="9" s="1"/>
  <c r="FJ361" i="9" s="1"/>
  <c r="EJ230" i="9"/>
  <c r="EJ235" i="9" s="1"/>
  <c r="EJ361" i="9" s="1"/>
  <c r="DR230" i="9"/>
  <c r="DR235" i="9" s="1"/>
  <c r="DR361" i="9" s="1"/>
  <c r="BH230" i="9"/>
  <c r="BH235" i="9" s="1"/>
  <c r="BH361" i="9" s="1"/>
  <c r="BH366" i="9" s="1"/>
  <c r="BH485" i="9" s="1"/>
  <c r="ER230" i="9"/>
  <c r="ER235" i="9" s="1"/>
  <c r="ER361" i="9" s="1"/>
  <c r="Y230" i="9"/>
  <c r="Y235" i="9" s="1"/>
  <c r="Y361" i="9" s="1"/>
  <c r="FF230" i="9"/>
  <c r="FF235" i="9" s="1"/>
  <c r="FF361" i="9" s="1"/>
  <c r="ES230" i="9"/>
  <c r="ES235" i="9" s="1"/>
  <c r="ES361" i="9" s="1"/>
  <c r="FL230" i="9"/>
  <c r="FL235" i="9" s="1"/>
  <c r="FL361" i="9" s="1"/>
  <c r="EQ230" i="9"/>
  <c r="EQ235" i="9" s="1"/>
  <c r="EQ361" i="9" s="1"/>
  <c r="S230" i="9"/>
  <c r="S235" i="9" s="1"/>
  <c r="S361" i="9" s="1"/>
  <c r="FK235" i="9"/>
  <c r="FK361" i="9" s="1"/>
  <c r="FC235" i="9"/>
  <c r="FC361" i="9" s="1"/>
  <c r="EY235" i="9"/>
  <c r="EY361" i="9" s="1"/>
  <c r="F38" i="2"/>
  <c r="I38" i="2"/>
  <c r="J38" i="2"/>
  <c r="L38" i="2"/>
  <c r="M38" i="2"/>
  <c r="P38" i="2"/>
  <c r="V38" i="2"/>
  <c r="V41" i="2" s="1"/>
  <c r="V54" i="2" s="1"/>
  <c r="V60" i="2" s="1"/>
  <c r="W38" i="2"/>
  <c r="W41" i="2" s="1"/>
  <c r="W54" i="2" s="1"/>
  <c r="W60" i="2" s="1"/>
  <c r="F11" i="2"/>
  <c r="I11" i="2"/>
  <c r="J11" i="2"/>
  <c r="K11" i="2"/>
  <c r="K14" i="2" s="1"/>
  <c r="L11" i="2"/>
  <c r="M11" i="2"/>
  <c r="P11" i="2"/>
  <c r="R11" i="2"/>
  <c r="C11" i="2"/>
  <c r="C14" i="2" s="1"/>
  <c r="BG138" i="9"/>
  <c r="BG230" i="9" l="1"/>
  <c r="BG235" i="9" s="1"/>
  <c r="BG361" i="9" s="1"/>
  <c r="BG366" i="9" s="1"/>
  <c r="BG485" i="9" s="1"/>
  <c r="K27" i="2"/>
  <c r="K31" i="2" s="1"/>
  <c r="K38" i="2" s="1"/>
  <c r="BH489" i="9"/>
  <c r="BH640" i="9" s="1"/>
  <c r="V66" i="2"/>
  <c r="V70" i="2" s="1"/>
  <c r="V74" i="2" s="1"/>
  <c r="V80" i="2" s="1"/>
  <c r="V94" i="2" s="1"/>
  <c r="V99" i="2" s="1"/>
  <c r="V117" i="2" s="1"/>
  <c r="V123" i="2" s="1"/>
  <c r="V138" i="2" s="1"/>
  <c r="V143" i="2" s="1"/>
  <c r="V155" i="2" s="1"/>
  <c r="V162" i="2" s="1"/>
  <c r="V181" i="2" s="1"/>
  <c r="W66" i="2"/>
  <c r="W70" i="2" s="1"/>
  <c r="W74" i="2" s="1"/>
  <c r="W80" i="2" s="1"/>
  <c r="W94" i="2" s="1"/>
  <c r="W99" i="2" s="1"/>
  <c r="W117" i="2" s="1"/>
  <c r="W123" i="2" s="1"/>
  <c r="W138" i="2" s="1"/>
  <c r="W143" i="2" s="1"/>
  <c r="W155" i="2" s="1"/>
  <c r="W162" i="2" s="1"/>
  <c r="W181" i="2" s="1"/>
  <c r="BH645" i="9" l="1"/>
  <c r="BG489" i="9"/>
  <c r="BG640" i="9" s="1"/>
  <c r="Z47" i="9"/>
  <c r="Z78" i="9" s="1"/>
  <c r="AL47" i="9"/>
  <c r="DS47" i="9"/>
  <c r="DS78" i="9" s="1"/>
  <c r="DV47" i="9"/>
  <c r="DV78" i="9" s="1"/>
  <c r="DX47" i="9"/>
  <c r="DX78" i="9" s="1"/>
  <c r="EJ47" i="9"/>
  <c r="EJ78" i="9" s="1"/>
  <c r="EK47" i="9"/>
  <c r="EK78" i="9" s="1"/>
  <c r="C47" i="9"/>
  <c r="C78" i="9" l="1"/>
  <c r="C83" i="9" s="1"/>
  <c r="BH805" i="9"/>
  <c r="BH812" i="9" s="1"/>
  <c r="BH937" i="9" s="1"/>
  <c r="BH943" i="9" s="1"/>
  <c r="BG645" i="9"/>
  <c r="C255" i="8"/>
  <c r="B255" i="8"/>
  <c r="DP123" i="9"/>
  <c r="BH1031" i="9" l="1"/>
  <c r="BH1038" i="9" s="1"/>
  <c r="BH1158" i="9" s="1"/>
  <c r="C133" i="9"/>
  <c r="C138" i="9" s="1"/>
  <c r="C230" i="9" s="1"/>
  <c r="C235" i="9" s="1"/>
  <c r="C361" i="9" s="1"/>
  <c r="C366" i="9" s="1"/>
  <c r="C485" i="9" s="1"/>
  <c r="BG805" i="9"/>
  <c r="BG812" i="9" s="1"/>
  <c r="BG937" i="9" s="1"/>
  <c r="BG943" i="9" s="1"/>
  <c r="DP133" i="9"/>
  <c r="DP138" i="9" s="1"/>
  <c r="M23" i="2"/>
  <c r="DP230" i="9" l="1"/>
  <c r="DP235" i="9" s="1"/>
  <c r="DP361" i="9" s="1"/>
  <c r="BG1031" i="9"/>
  <c r="BG1038" i="9" s="1"/>
  <c r="BG1158" i="9" s="1"/>
  <c r="B7" i="11"/>
  <c r="C489" i="9"/>
  <c r="C640" i="9" s="1"/>
  <c r="C206" i="8"/>
  <c r="B198" i="8"/>
  <c r="B206" i="8" s="1"/>
  <c r="C645" i="9" l="1"/>
  <c r="H117" i="9"/>
  <c r="H133" i="9" s="1"/>
  <c r="C805" i="9" l="1"/>
  <c r="C812" i="9" s="1"/>
  <c r="C937" i="9" s="1"/>
  <c r="R34" i="2"/>
  <c r="R38" i="2" s="1"/>
  <c r="C26" i="2"/>
  <c r="C27" i="2" s="1"/>
  <c r="M24" i="2"/>
  <c r="M27" i="2" s="1"/>
  <c r="C3" i="11" l="1"/>
  <c r="C943" i="9"/>
  <c r="C31" i="2"/>
  <c r="C38" i="2" s="1"/>
  <c r="CC104" i="9"/>
  <c r="CC133" i="9" s="1"/>
  <c r="C1031" i="9" l="1"/>
  <c r="C1038" i="9" s="1"/>
  <c r="C1158" i="9" s="1"/>
  <c r="C41" i="2"/>
  <c r="C54" i="2" s="1"/>
  <c r="C60" i="2" s="1"/>
  <c r="B147" i="8"/>
  <c r="C66" i="2" l="1"/>
  <c r="C70" i="2" s="1"/>
  <c r="C74" i="2" s="1"/>
  <c r="C80" i="2" s="1"/>
  <c r="C94" i="2" s="1"/>
  <c r="C99" i="2" s="1"/>
  <c r="BU88" i="9"/>
  <c r="BU133" i="9" s="1"/>
  <c r="C117" i="2" l="1"/>
  <c r="C123" i="2" s="1"/>
  <c r="C138" i="2" s="1"/>
  <c r="C143" i="2" s="1"/>
  <c r="C155" i="2" s="1"/>
  <c r="C162" i="2" s="1"/>
  <c r="C181" i="2" s="1"/>
  <c r="BY75" i="9"/>
  <c r="BY78" i="9" s="1"/>
  <c r="BT75" i="9"/>
  <c r="BT78" i="9" s="1"/>
  <c r="B6" i="11" l="1"/>
  <c r="B173" i="8"/>
  <c r="B171" i="8"/>
  <c r="AL75" i="9"/>
  <c r="B135" i="8"/>
  <c r="B134" i="8"/>
  <c r="AL78" i="9" l="1"/>
  <c r="AL83" i="9" s="1"/>
  <c r="AL133" i="9" s="1"/>
  <c r="C7" i="11"/>
  <c r="C8" i="11" s="1"/>
  <c r="DV235" i="9"/>
  <c r="DV361" i="9" s="1"/>
</calcChain>
</file>

<file path=xl/comments1.xml><?xml version="1.0" encoding="utf-8"?>
<comments xmlns="http://schemas.openxmlformats.org/spreadsheetml/2006/main">
  <authors>
    <author>Windows User</author>
  </authors>
  <commentList>
    <comment ref="AC110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<sst xmlns="http://schemas.openxmlformats.org/spreadsheetml/2006/main" count="7402" uniqueCount="2622">
  <si>
    <t>Date</t>
  </si>
  <si>
    <t>15.05.2018</t>
  </si>
  <si>
    <t>Opening Balance</t>
  </si>
  <si>
    <t>16.05.2018</t>
  </si>
  <si>
    <t>Bhanga</t>
  </si>
  <si>
    <t>Particular</t>
  </si>
  <si>
    <t>Bkash Charge</t>
  </si>
  <si>
    <t>Taka</t>
  </si>
  <si>
    <t>18.05.2018</t>
  </si>
  <si>
    <t>19.05.2018</t>
  </si>
  <si>
    <t>20.05.2018</t>
  </si>
  <si>
    <t>Loan Payment to KPL</t>
  </si>
  <si>
    <t>Loan Received From KPL</t>
  </si>
  <si>
    <t>Advance to Faisal Akhand Prince</t>
  </si>
  <si>
    <t>21.05.2018</t>
  </si>
  <si>
    <t>Arial Kha</t>
  </si>
  <si>
    <t>Advance to Eng. Mahmudol Hasan</t>
  </si>
  <si>
    <t>17.05.2018</t>
  </si>
  <si>
    <t>22.05.2018</t>
  </si>
  <si>
    <t>Printing &amp; Stationary</t>
  </si>
  <si>
    <t>Refund From Faisal Akhand Prince</t>
  </si>
  <si>
    <t>Office</t>
  </si>
  <si>
    <t>23.05.2018</t>
  </si>
  <si>
    <t>24.05.2018</t>
  </si>
  <si>
    <t>Advance to Eng. Taher</t>
  </si>
  <si>
    <t>25.05.2018</t>
  </si>
  <si>
    <t>26.05.2018</t>
  </si>
  <si>
    <t>MBL</t>
  </si>
  <si>
    <t>Cash Withdraw</t>
  </si>
  <si>
    <t>27.05.2018</t>
  </si>
  <si>
    <t>28.05.2018</t>
  </si>
  <si>
    <t>29.05.2018</t>
  </si>
  <si>
    <t>Loan Payment to A ONE CONSTRUCTIONS</t>
  </si>
  <si>
    <t>30.05.2018</t>
  </si>
  <si>
    <t>Repair &amp; Maintenance</t>
  </si>
  <si>
    <t>Fuel Expense</t>
  </si>
  <si>
    <t>Medical Expenses</t>
  </si>
  <si>
    <t>Mobile Bill</t>
  </si>
  <si>
    <t>Conveyance Expenses</t>
  </si>
  <si>
    <t>Fuel Expenses</t>
  </si>
  <si>
    <t>Bank Charge</t>
  </si>
  <si>
    <t>Cash in Hand</t>
  </si>
  <si>
    <t>31.05.2018</t>
  </si>
  <si>
    <t>01.06.2018</t>
  </si>
  <si>
    <t>03.06.2018</t>
  </si>
  <si>
    <t>Conveyance Bill</t>
  </si>
  <si>
    <t>Cash</t>
  </si>
  <si>
    <t>Griss,Conveyance &amp; Bkash Charge</t>
  </si>
  <si>
    <t>04.06.2018</t>
  </si>
  <si>
    <t>Icon Engineering</t>
  </si>
  <si>
    <t>05.06.2018</t>
  </si>
  <si>
    <t>06.06.2018</t>
  </si>
  <si>
    <t>Yard Rent (May-June,2018)</t>
  </si>
  <si>
    <t>07.06.2018</t>
  </si>
  <si>
    <t>09.06.2018</t>
  </si>
  <si>
    <t>Salary (May-2018)</t>
  </si>
  <si>
    <t>Debit</t>
  </si>
  <si>
    <t>Credit</t>
  </si>
  <si>
    <t>printing &amp; Stationary</t>
  </si>
  <si>
    <t>Wages Expenses</t>
  </si>
  <si>
    <t>Power Vision</t>
  </si>
  <si>
    <t>Power Vision(Sunny)</t>
  </si>
  <si>
    <t>Management Cost</t>
  </si>
  <si>
    <t>Entertainment Exp.</t>
  </si>
  <si>
    <t>25.06.2018</t>
  </si>
  <si>
    <t>Loan Payment</t>
  </si>
  <si>
    <t>11.06.2018</t>
  </si>
  <si>
    <t>Rig Machine Nut Repair</t>
  </si>
  <si>
    <t>Yard Rent</t>
  </si>
  <si>
    <t>Salary Expenses</t>
  </si>
  <si>
    <t>10.06.2018</t>
  </si>
  <si>
    <t>13.06.2018</t>
  </si>
  <si>
    <t>Business Promotion(Haron)</t>
  </si>
  <si>
    <t>26.06.2018</t>
  </si>
  <si>
    <t>Business Promotion</t>
  </si>
  <si>
    <t>Ganerator Rent</t>
  </si>
  <si>
    <t>House Rent</t>
  </si>
  <si>
    <t>Loan Received</t>
  </si>
  <si>
    <t xml:space="preserve">Site Raw Expenses </t>
  </si>
  <si>
    <t>Misecllaneous exp.</t>
  </si>
  <si>
    <t>KPL</t>
  </si>
  <si>
    <t>A ONE</t>
  </si>
  <si>
    <t>Site Raw Expenses</t>
  </si>
  <si>
    <t>Water Bill</t>
  </si>
  <si>
    <t>Ganerator Bill</t>
  </si>
  <si>
    <t>27.06.2018</t>
  </si>
  <si>
    <t>Refund</t>
  </si>
  <si>
    <t>Conveyance Bill(Taher)</t>
  </si>
  <si>
    <t>Entertainment(Taher)</t>
  </si>
  <si>
    <t>KAIS</t>
  </si>
  <si>
    <t>Loan &amp; Advance</t>
  </si>
  <si>
    <t>Mahmodul Hasan</t>
  </si>
  <si>
    <t>Faisal Akhand</t>
  </si>
  <si>
    <t>Abu Taher</t>
  </si>
  <si>
    <t>Refund From Eng.Mahmodul Hasan</t>
  </si>
  <si>
    <t>Voucher Number</t>
  </si>
  <si>
    <t>Loan Received From A ONE Construction</t>
  </si>
  <si>
    <t>01.07.2018</t>
  </si>
  <si>
    <t>Fuel Exp.</t>
  </si>
  <si>
    <t>Entertainment(Prince)</t>
  </si>
  <si>
    <t>Conveyance Exp.</t>
  </si>
  <si>
    <t>Conveyance Exp.(Prince)</t>
  </si>
  <si>
    <t>Refund From Eng.Abu Taher</t>
  </si>
  <si>
    <t>Dr.1</t>
  </si>
  <si>
    <t>Dr.2</t>
  </si>
  <si>
    <t>Dr.3</t>
  </si>
  <si>
    <t>Dr.4</t>
  </si>
  <si>
    <t>Dr.5</t>
  </si>
  <si>
    <t>Dr.6</t>
  </si>
  <si>
    <t>Dr.7</t>
  </si>
  <si>
    <t>Dr.8</t>
  </si>
  <si>
    <t>Dr.9</t>
  </si>
  <si>
    <t>Dr.10</t>
  </si>
  <si>
    <t>Dr.11</t>
  </si>
  <si>
    <t>Dr.12</t>
  </si>
  <si>
    <t>Dr.13</t>
  </si>
  <si>
    <t>Dr.14</t>
  </si>
  <si>
    <t>Dr.15</t>
  </si>
  <si>
    <t>Dr.16</t>
  </si>
  <si>
    <t>Dr.17</t>
  </si>
  <si>
    <t>Dr.18</t>
  </si>
  <si>
    <t>Dr.19</t>
  </si>
  <si>
    <t>Dr.20</t>
  </si>
  <si>
    <t>Dr.21</t>
  </si>
  <si>
    <t>Dr.22</t>
  </si>
  <si>
    <t>Dr.23</t>
  </si>
  <si>
    <t>Dr.24</t>
  </si>
  <si>
    <t>Dr.25</t>
  </si>
  <si>
    <t>Dr.26</t>
  </si>
  <si>
    <t>Dr.27</t>
  </si>
  <si>
    <t>Dr.28</t>
  </si>
  <si>
    <t>Dr.29</t>
  </si>
  <si>
    <t>Dr.30</t>
  </si>
  <si>
    <t>Dr.31</t>
  </si>
  <si>
    <t>Dr.32</t>
  </si>
  <si>
    <t>Dr.33</t>
  </si>
  <si>
    <t>Dr.34</t>
  </si>
  <si>
    <t>Dr.35</t>
  </si>
  <si>
    <t>Dr.36</t>
  </si>
  <si>
    <t>Dr.37</t>
  </si>
  <si>
    <t>Dr.38</t>
  </si>
  <si>
    <t>Dr.39</t>
  </si>
  <si>
    <t>Cr.2</t>
  </si>
  <si>
    <t>Cr.3</t>
  </si>
  <si>
    <t>Cr.4</t>
  </si>
  <si>
    <t>Cr.5</t>
  </si>
  <si>
    <t>Cr.6</t>
  </si>
  <si>
    <t>Cr.7</t>
  </si>
  <si>
    <t>Cr.8</t>
  </si>
  <si>
    <t>Cr.9</t>
  </si>
  <si>
    <t>Cr.10</t>
  </si>
  <si>
    <t>Cr.11</t>
  </si>
  <si>
    <t>Cr.12</t>
  </si>
  <si>
    <t>Cr.13</t>
  </si>
  <si>
    <t>Cr.14</t>
  </si>
  <si>
    <t>Adjustment</t>
  </si>
  <si>
    <t>Jv-100</t>
  </si>
  <si>
    <t>K.A.I.S Piling &amp; Construction Limited</t>
  </si>
  <si>
    <t>Journal Voucher</t>
  </si>
  <si>
    <t>Voucher No: 100</t>
  </si>
  <si>
    <t>Fuel Expenes</t>
  </si>
  <si>
    <t>Loan &amp; Advace(Eng.Mahadul Hasan)</t>
  </si>
  <si>
    <t>Jv-101</t>
  </si>
  <si>
    <t>Voucher No: 101</t>
  </si>
  <si>
    <t>Miscellanous Expenses</t>
  </si>
  <si>
    <t>Entermainment Exp.</t>
  </si>
  <si>
    <t>Voucher No: 102</t>
  </si>
  <si>
    <t>Jv-102</t>
  </si>
  <si>
    <t>Voucher No: 103</t>
  </si>
  <si>
    <t>Jv-103</t>
  </si>
  <si>
    <t>Jv-104</t>
  </si>
  <si>
    <t>Voucher No: 104</t>
  </si>
  <si>
    <t>Jv-105</t>
  </si>
  <si>
    <t>Voucher No: 105</t>
  </si>
  <si>
    <t>Jv-106</t>
  </si>
  <si>
    <t>Voucher No: 106</t>
  </si>
  <si>
    <t>Jv-107</t>
  </si>
  <si>
    <t>Voucher No: 107</t>
  </si>
  <si>
    <t>Site Raw Exp.</t>
  </si>
  <si>
    <t>Loan &amp; Advance(Eng.Mahadul Hasan)</t>
  </si>
  <si>
    <t>Loan &amp; Advance(Prince)</t>
  </si>
  <si>
    <t>Loan &amp; Advance(Eng.Mahmodul Hasan)</t>
  </si>
  <si>
    <t>Loan &amp; Advance(Eng.Abu Taher)</t>
  </si>
  <si>
    <t>Jv-108</t>
  </si>
  <si>
    <t>Voucher No: 108</t>
  </si>
  <si>
    <t>Enertainment Exp.</t>
  </si>
  <si>
    <t>Jv-109</t>
  </si>
  <si>
    <t>Voucher No: 109</t>
  </si>
  <si>
    <t>Entertainment Exp(11*50*22)</t>
  </si>
  <si>
    <t>Jv-110</t>
  </si>
  <si>
    <t>Voucher No: 110</t>
  </si>
  <si>
    <t>Wages Exp.</t>
  </si>
  <si>
    <t>Jv-111</t>
  </si>
  <si>
    <t>Voucher No: 111</t>
  </si>
  <si>
    <t>Voucher No: 112</t>
  </si>
  <si>
    <t>Jv-112</t>
  </si>
  <si>
    <t>12.06.2018</t>
  </si>
  <si>
    <t>02.07.2018</t>
  </si>
  <si>
    <t>Advance Salary-Nizam</t>
  </si>
  <si>
    <t>Advance Salary-Azizul Haq</t>
  </si>
  <si>
    <t>Advance Salary-Eng.Abu Taher</t>
  </si>
  <si>
    <t>Cr.15</t>
  </si>
  <si>
    <t>Dr.40</t>
  </si>
  <si>
    <t>Dr.41</t>
  </si>
  <si>
    <t>Dr.42</t>
  </si>
  <si>
    <t>Advance Salary</t>
  </si>
  <si>
    <t>Nizam Uddin</t>
  </si>
  <si>
    <t>Azizul Haq</t>
  </si>
  <si>
    <t>04.07.2018</t>
  </si>
  <si>
    <t>Jv-113</t>
  </si>
  <si>
    <t>Cr.16</t>
  </si>
  <si>
    <t xml:space="preserve">Journal Voucher             </t>
  </si>
  <si>
    <t>Voucher No: 113</t>
  </si>
  <si>
    <t>07.07.2018</t>
  </si>
  <si>
    <t>Conveyance Exp.(Eng.Taher)</t>
  </si>
  <si>
    <t>Dr.43</t>
  </si>
  <si>
    <t>Dr.44</t>
  </si>
  <si>
    <t>Dr.45</t>
  </si>
  <si>
    <t>Dr.46</t>
  </si>
  <si>
    <t>09.07.2018</t>
  </si>
  <si>
    <t>11.07.2018</t>
  </si>
  <si>
    <t>Transportation Cost</t>
  </si>
  <si>
    <t>Dr.47</t>
  </si>
  <si>
    <t>Advance to Eng. Taher(For Material Shippment)</t>
  </si>
  <si>
    <t>Dr.48</t>
  </si>
  <si>
    <t>Dr.49</t>
  </si>
  <si>
    <t xml:space="preserve">Tarif (Piling Casting) </t>
  </si>
  <si>
    <t xml:space="preserve"> Tarif Engineering Service(Piling Casting)</t>
  </si>
  <si>
    <t>Cr.17</t>
  </si>
  <si>
    <t>Dr.50</t>
  </si>
  <si>
    <t>Conveyance(Ikhtear Sir) For Visiting Arial Kha &amp; Bhanga.</t>
  </si>
  <si>
    <t>Dr.51</t>
  </si>
  <si>
    <t>Dr.52</t>
  </si>
  <si>
    <t>Dr.53</t>
  </si>
  <si>
    <t>Dr.54</t>
  </si>
  <si>
    <t>14.07.2018</t>
  </si>
  <si>
    <t>Dr.55</t>
  </si>
  <si>
    <t>Cr.18</t>
  </si>
  <si>
    <t>Management Cost to KPL</t>
  </si>
  <si>
    <t>Dr.57</t>
  </si>
  <si>
    <t>15.07.2018</t>
  </si>
  <si>
    <t>Dr.58</t>
  </si>
  <si>
    <t>M/S R.J.Marine(Generator)</t>
  </si>
  <si>
    <t>16.07.2018</t>
  </si>
  <si>
    <t>Dr.59</t>
  </si>
  <si>
    <t>Dr.60</t>
  </si>
  <si>
    <t>18.07.2018</t>
  </si>
  <si>
    <t>Dr.61</t>
  </si>
  <si>
    <t>Dr.62</t>
  </si>
  <si>
    <t>Jv-115</t>
  </si>
  <si>
    <t>Jv-116</t>
  </si>
  <si>
    <t>Jv-117</t>
  </si>
  <si>
    <t>19.07.2018</t>
  </si>
  <si>
    <t>N.S Trade International For Clearing &amp; Forwarding</t>
  </si>
  <si>
    <t>14.06.2018</t>
  </si>
  <si>
    <t>18.06.2018</t>
  </si>
  <si>
    <t>Kibria Sir</t>
  </si>
  <si>
    <t>A ONE Construction &amp; Logistic</t>
  </si>
  <si>
    <t>28.06.2018</t>
  </si>
  <si>
    <t>Dr.63</t>
  </si>
  <si>
    <t>Advance to Afzal Sir for India Tour</t>
  </si>
  <si>
    <t>Afzal Sir</t>
  </si>
  <si>
    <t>Dr.64</t>
  </si>
  <si>
    <t>23.07.2018</t>
  </si>
  <si>
    <t>Cr.19</t>
  </si>
  <si>
    <t>Dr.65</t>
  </si>
  <si>
    <t>Dr.66</t>
  </si>
  <si>
    <t>Dr.67</t>
  </si>
  <si>
    <t>Dr.68</t>
  </si>
  <si>
    <t>Yard Rent(Arial Kha)</t>
  </si>
  <si>
    <t>Voucher No: 114</t>
  </si>
  <si>
    <t>Bonus(Tips)</t>
  </si>
  <si>
    <t>Conveyance Expense</t>
  </si>
  <si>
    <t>Tips/Bonus</t>
  </si>
  <si>
    <t>Transportation Cost(Machinery Shippment)</t>
  </si>
  <si>
    <t>Loan &amp; Advance(Eng.Taher)</t>
  </si>
  <si>
    <t>Voucher No: 115</t>
  </si>
  <si>
    <t>Voucher No: 116</t>
  </si>
  <si>
    <t>Voucher No: 117</t>
  </si>
  <si>
    <t>Conveyance(Eng.Thaher &amp; Prince)for visit Ashulia for Auger</t>
  </si>
  <si>
    <t>Dr.56 &amp; Jv-114</t>
  </si>
  <si>
    <t>Salary Expense</t>
  </si>
  <si>
    <t>Advance Salary (Eng.Abu Taher)</t>
  </si>
  <si>
    <t>Advance Salary(Nizam Uddin)</t>
  </si>
  <si>
    <t>Advance Salary (Azizul Haq)</t>
  </si>
  <si>
    <t>26.07.2018</t>
  </si>
  <si>
    <t>Cash Withdraw(MBL)(CA-2702287)</t>
  </si>
  <si>
    <t>Cash Withdraw(MBL)(CA-2702288)</t>
  </si>
  <si>
    <t>Cash Withdraw(MBL)(CA-2702289)</t>
  </si>
  <si>
    <t>Cash Withdraw(MBL)CA-2702281</t>
  </si>
  <si>
    <t>Cash Withdraw(MBL)CA-2702282</t>
  </si>
  <si>
    <t>Cash Withdraw(MBL)CA-2702283</t>
  </si>
  <si>
    <t>Cash Withdraw(MBL)CA-2702284</t>
  </si>
  <si>
    <t>Cash Withdraw(MBL)CA-2702285</t>
  </si>
  <si>
    <t>Cash Withdraw(MBL)CA-2702287</t>
  </si>
  <si>
    <t>Cash Withdraw(MBL)CA-2702288</t>
  </si>
  <si>
    <t>Cash Withdraw(MBL)CA-2702289</t>
  </si>
  <si>
    <t>28.07.2018</t>
  </si>
  <si>
    <t>Cash Withdraw (CA-2702285)</t>
  </si>
  <si>
    <t>Cash Withdraw (CA-2702284)</t>
  </si>
  <si>
    <t>Cash Withdraw (CA-2702281)</t>
  </si>
  <si>
    <t>Cash Withdraw (CA-2702282)</t>
  </si>
  <si>
    <t>Cash Withdraw (CA-2702283)</t>
  </si>
  <si>
    <t>29.07.2018</t>
  </si>
  <si>
    <t>Dr.69</t>
  </si>
  <si>
    <t>Adjustment(Afzal Sir for India &amp; Ctg.Tour By Air)</t>
  </si>
  <si>
    <t>Air Ticket</t>
  </si>
  <si>
    <t>Currency</t>
  </si>
  <si>
    <t>Voucher No: 118</t>
  </si>
  <si>
    <t>Loan &amp; Advance(Afzal Sir)</t>
  </si>
  <si>
    <t>Dr.70 &amp; Jv.118</t>
  </si>
  <si>
    <t>Dr.71</t>
  </si>
  <si>
    <t>Dr.72</t>
  </si>
  <si>
    <t>31.07.0218</t>
  </si>
  <si>
    <t>M/S Tarek Steel(Advance Crane Rent)</t>
  </si>
  <si>
    <t>30.07.2018</t>
  </si>
  <si>
    <t>Dr.73</t>
  </si>
  <si>
    <t>Rampal Project</t>
  </si>
  <si>
    <t>Dr.74</t>
  </si>
  <si>
    <t>Dr.75</t>
  </si>
  <si>
    <t>Dr.76</t>
  </si>
  <si>
    <t>Payment to Eng.Abu Taher Against Expense Bill Voucher(Low bed &amp; Crane Rent)</t>
  </si>
  <si>
    <t>Dr.77</t>
  </si>
  <si>
    <t>Visa Fee</t>
  </si>
  <si>
    <t>31.07.2018</t>
  </si>
  <si>
    <t>Dr.78</t>
  </si>
  <si>
    <t>Conveyance Exp.(Imran)</t>
  </si>
  <si>
    <t>Dr.79</t>
  </si>
  <si>
    <t>01.08.2018</t>
  </si>
  <si>
    <t>R.S Enterprise(Advance Low Bed Rent)</t>
  </si>
  <si>
    <t>CCECC</t>
  </si>
  <si>
    <t>Entertainment Exp.(Lunch,Dinner)</t>
  </si>
  <si>
    <t>Printing &amp; Stationary(For Sill pad)</t>
  </si>
  <si>
    <t>Printing &amp; Stationary(Visiting Card,Lameniting)</t>
  </si>
  <si>
    <t xml:space="preserve"> Piling Casting(Tarif Engineering Service)</t>
  </si>
  <si>
    <t>Entertainment Exp.(Breakfast,Lunch &amp; Dinner)(Ikhtear Sir)</t>
  </si>
  <si>
    <t>Fuel Exp.(Cars Disel)(Visiting Arial Kha &amp; Bhanga) Ikhtear Sir</t>
  </si>
  <si>
    <t>Salary Expense(For the month of June-2018)</t>
  </si>
  <si>
    <t>Printing &amp; Stationary(Envelope)</t>
  </si>
  <si>
    <t>Conveynce to Eng.Abu Taher (for Arial Kha Visit)</t>
  </si>
  <si>
    <t>Entertainment Exp.(Lunch at Arial Kha)(Eng.Abu Taher)</t>
  </si>
  <si>
    <t>Conveyance to Eng.Abu Taher (For visiting Vibrohammer Rent Purpose)</t>
  </si>
  <si>
    <t>Entertainment Exp.(Lunch Bill to Eng.Abu Taher (Visit Vibrohammer Purpose)</t>
  </si>
  <si>
    <t>Printing &amp; Stationary(Stamp Purchase)(Liton)for Deed Crane Rent</t>
  </si>
  <si>
    <t>Bkash Charge (Sending Site Money at Rampal Project)</t>
  </si>
  <si>
    <t>Visa fee (For China tour)(Chairman &amp; MD Sir) to Sumon</t>
  </si>
  <si>
    <t>Adjustment(Advance Salary-Abu Taher)</t>
  </si>
  <si>
    <t>Adjustment(Advance Salary-Nizam Uddin)</t>
  </si>
  <si>
    <t>Adjustment(Advance Salary-Azizul Haq)</t>
  </si>
  <si>
    <t>Mobile Bill(Afzal Sir)</t>
  </si>
  <si>
    <t>Advance Salary(Engr.Abu Taher)</t>
  </si>
  <si>
    <t>Dr.80</t>
  </si>
  <si>
    <t>Dr.81</t>
  </si>
  <si>
    <t>Saber Hossain</t>
  </si>
  <si>
    <t>02.08.2018</t>
  </si>
  <si>
    <t>Advance Salary(Engr.Saber Hossain)</t>
  </si>
  <si>
    <t>Dr.82</t>
  </si>
  <si>
    <t>Dr.83</t>
  </si>
  <si>
    <t>05.08.2018</t>
  </si>
  <si>
    <t>Conveyance to Ikhtear Sir(For Rampal Project  Visit)</t>
  </si>
  <si>
    <t>Disel for Car (Ikhtear Sir) For Rampal Project Visit</t>
  </si>
  <si>
    <t>Lunch Bill (Ikhtear Sir) At Rampal Project</t>
  </si>
  <si>
    <t>Police Tips &amp; Other Expense(Ikhtear Sir)At Rampal Project</t>
  </si>
  <si>
    <t>Misce.Expense</t>
  </si>
  <si>
    <t>Dr.84</t>
  </si>
  <si>
    <t>Dr.85</t>
  </si>
  <si>
    <t>Dr.86</t>
  </si>
  <si>
    <t>Dr.87</t>
  </si>
  <si>
    <t>06.08.2018</t>
  </si>
  <si>
    <t>Cash Withdraw from MBL(CA-2702293)</t>
  </si>
  <si>
    <t>Cr.20</t>
  </si>
  <si>
    <t>M/S R.j.Marine for Generator Purchase Purpose</t>
  </si>
  <si>
    <t>07.08.2018</t>
  </si>
  <si>
    <t>Yard Rent(July &amp; August-2018) Juhora Motors</t>
  </si>
  <si>
    <t>Yard Rent(Juhora Motors)</t>
  </si>
  <si>
    <t>Bkash Charge(For Sendin Money of R.S Enterprise)Liton</t>
  </si>
  <si>
    <t>Online Charge(For Sending Salary of Shafiqul Islam at City Bank)Prince</t>
  </si>
  <si>
    <t>Online Charge</t>
  </si>
  <si>
    <t>Conveyance to Hridoy(Office to IBBL)for sending Salary</t>
  </si>
  <si>
    <t>Conveyance to Bappy (Arial Kha to Office &amp; Office to Arial Kha)</t>
  </si>
  <si>
    <t>Lunch Bill to Bappy (Arial Kha Project)</t>
  </si>
  <si>
    <t>Advance to Bappy for Site Expense at Arial Kha Project</t>
  </si>
  <si>
    <t>Bappy</t>
  </si>
  <si>
    <t>Advance to Faisal Akhand Prince For Equipment(Tripod)</t>
  </si>
  <si>
    <t>Bkash Charge(For Sendin Money of Site Expense &amp; Salary)Liton(Rampal Project)</t>
  </si>
  <si>
    <t>Cash Withdraw from MBL(CA-2702294)</t>
  </si>
  <si>
    <t>08.08.2018</t>
  </si>
  <si>
    <t>Conveyance to Himel(KPL to MBL &amp; MBL to KPL Two days)Office</t>
  </si>
  <si>
    <t>09.08.2018</t>
  </si>
  <si>
    <t>Bkash Charge for Sending House Rent &amp; Yard Rent At Arial Kha Project</t>
  </si>
  <si>
    <t>House Rent For the month of August-2018(Arial Kha)</t>
  </si>
  <si>
    <t>Yard Rent For the month of August-2018(Arial Kha)</t>
  </si>
  <si>
    <t>Auger(Asset)</t>
  </si>
  <si>
    <t>Tripod(Asset)</t>
  </si>
  <si>
    <t>Carrying Cost</t>
  </si>
  <si>
    <t>Advance Salary to Azizul Haq</t>
  </si>
  <si>
    <t>Dr.88</t>
  </si>
  <si>
    <t>Dr.89</t>
  </si>
  <si>
    <t>Dr.90</t>
  </si>
  <si>
    <t>Dr.91</t>
  </si>
  <si>
    <t>Dr.92</t>
  </si>
  <si>
    <t>Dr.93</t>
  </si>
  <si>
    <t>Dr.94</t>
  </si>
  <si>
    <t>Dr.95</t>
  </si>
  <si>
    <t>Dr.96</t>
  </si>
  <si>
    <t>Dr.97</t>
  </si>
  <si>
    <t>Dr.98</t>
  </si>
  <si>
    <t>Dr.99</t>
  </si>
  <si>
    <t>Dr.100</t>
  </si>
  <si>
    <t>Dr.101</t>
  </si>
  <si>
    <t>Dr.102</t>
  </si>
  <si>
    <t>Cr.21</t>
  </si>
  <si>
    <t>Dr.103</t>
  </si>
  <si>
    <t>Dr.104</t>
  </si>
  <si>
    <t>Dr.105</t>
  </si>
  <si>
    <t>Dr.106</t>
  </si>
  <si>
    <t>11.08.2018</t>
  </si>
  <si>
    <t>Crane Rent(Amir Group)</t>
  </si>
  <si>
    <t>Crane Rent(Amir Group)Rampal Project</t>
  </si>
  <si>
    <t>Bkash Charge for Sending Crane Rent At Arial Kha(Rampal Project)</t>
  </si>
  <si>
    <t>Truck Rent For Machinery And Others Shipment At Rampal Project</t>
  </si>
  <si>
    <t>Bkash Charge For Sending Truck Rent At Arial Kha(Rampal Project)</t>
  </si>
  <si>
    <t>Dr.107</t>
  </si>
  <si>
    <t>Dr.108</t>
  </si>
  <si>
    <t>Dr.109</t>
  </si>
  <si>
    <t>Dr.110</t>
  </si>
  <si>
    <t>12.08.2018</t>
  </si>
  <si>
    <t>Cash at Bank:</t>
  </si>
  <si>
    <t>A One Account</t>
  </si>
  <si>
    <t>13.08.2018</t>
  </si>
  <si>
    <t>Shaon Engineering For Bucket,Teeth Holder.</t>
  </si>
  <si>
    <t>14.08.2019</t>
  </si>
  <si>
    <t>Cash Withdraw from MBL(CA-2702299)</t>
  </si>
  <si>
    <t>Payment to Engr.Saber Hossain Crane Rent Purpose at Arial Kha For Rampal Project</t>
  </si>
  <si>
    <t>Payment to Engr.Saber Hossain Crane Rent Purpose At Arial Kha(Amir Group)Rampal Project</t>
  </si>
  <si>
    <t>14.08.2018</t>
  </si>
  <si>
    <t>Loan Received From A One Construction &amp; Logistic</t>
  </si>
  <si>
    <t>Loan Payment to A One Construction &amp; Logistic(CA-2702297)</t>
  </si>
  <si>
    <t xml:space="preserve">A ONE Construction </t>
  </si>
  <si>
    <t>M/S Tarek Steel(Crane Rent)</t>
  </si>
  <si>
    <t>R.S Enterprise(Low Bed Rent)</t>
  </si>
  <si>
    <t>Loan Received From Kibria Sir(A/C Payee:SA-0641090)</t>
  </si>
  <si>
    <t xml:space="preserve">High Bed Rent </t>
  </si>
  <si>
    <t xml:space="preserve">Conveyance to Himel(KPL to IBBL to MBL to KPL)  </t>
  </si>
  <si>
    <t>Conveyance to Prince(Yard Visit of Juhora Enterprise At Ashulia For Equipment Quanting)</t>
  </si>
  <si>
    <t>Bkash Charge For Sending Money of Crane Rent Purpose At Arial Kha For Rampal(Amir Group)</t>
  </si>
  <si>
    <t>Advance to M/S R.J.Marine(Generator &amp; Transport Cost)Purpose(70000+10000)</t>
  </si>
  <si>
    <t>Bkash Charge For Sending Money of Advance Securities &amp; Tripol At Rampal Project</t>
  </si>
  <si>
    <t>Dr.111</t>
  </si>
  <si>
    <t>Dr.112</t>
  </si>
  <si>
    <t>Dr.113</t>
  </si>
  <si>
    <t>Cr.23</t>
  </si>
  <si>
    <t>Dr.114</t>
  </si>
  <si>
    <t>Dr.115</t>
  </si>
  <si>
    <t>Dr.116</t>
  </si>
  <si>
    <t>Dr.117</t>
  </si>
  <si>
    <t>Dr.118</t>
  </si>
  <si>
    <t>Dr.119</t>
  </si>
  <si>
    <t>16.08.2018</t>
  </si>
  <si>
    <t>Dr.121</t>
  </si>
  <si>
    <t>Advance to Engr.Abu Taher  For Arial Kha For Saber Via Bappys Bkash Number</t>
  </si>
  <si>
    <t>Advance to Prince For Safety Equipment At Rampal Project</t>
  </si>
  <si>
    <t>Advance Salary to Engr.Abu Taher</t>
  </si>
  <si>
    <t>Echange Limited for Hammer,Excavator,Dram Truck Rent Purpose(CA-2702298)</t>
  </si>
  <si>
    <t>Icon Engineering Service</t>
  </si>
  <si>
    <t>Icon Engineering Service(CDA-8186581)</t>
  </si>
  <si>
    <t>27.08.2018</t>
  </si>
  <si>
    <t>Cash Withdraw from MBL(CA-2702300)</t>
  </si>
  <si>
    <t>Bkash Charge For Sending Money to Engr.Abu Taher At Rampal</t>
  </si>
  <si>
    <t>28.08.2018</t>
  </si>
  <si>
    <t>Safety Euipment</t>
  </si>
  <si>
    <t>Loan to A One Construction &amp; Logistic</t>
  </si>
  <si>
    <t>A One Cons.</t>
  </si>
  <si>
    <t>Adjustment(Engr.Abu Taher)Advance Salary</t>
  </si>
  <si>
    <t>Adjustment(Engr.Saber Hossain)Advance Salary</t>
  </si>
  <si>
    <t>Adjustment(Azizul Haq)Advance Salary</t>
  </si>
  <si>
    <t>Voucher No: 119</t>
  </si>
  <si>
    <t>Salary Expense(Engr.Abu Taher)</t>
  </si>
  <si>
    <t>Salary Expense(Engr.Saber Hossain)</t>
  </si>
  <si>
    <t>Salary Expense(Azizul Haq)</t>
  </si>
  <si>
    <t>Advance Salary(Azizul Haq)</t>
  </si>
  <si>
    <t>Jv.119</t>
  </si>
  <si>
    <t>Cr.22 &amp; Jv.120</t>
  </si>
  <si>
    <t>Voucher No: 120</t>
  </si>
  <si>
    <t>Wages for Making Tripod</t>
  </si>
  <si>
    <t>Labour Cost for Delivery</t>
  </si>
  <si>
    <t>Cash(Refund)</t>
  </si>
  <si>
    <t>Voucher No: 121</t>
  </si>
  <si>
    <t>Land Rent</t>
  </si>
  <si>
    <t>Hotel Rent</t>
  </si>
  <si>
    <t>Crane Rent(M/S Tarek Steel)</t>
  </si>
  <si>
    <t>Advance Land Rent</t>
  </si>
  <si>
    <t>Site Raw Expense</t>
  </si>
  <si>
    <t>Crane Rent(M/S Tareq Steel)</t>
  </si>
  <si>
    <t>Loan &amp; Advance(Engr.Abu Taher)</t>
  </si>
  <si>
    <t>Dr.123</t>
  </si>
  <si>
    <t>Dr.124</t>
  </si>
  <si>
    <t>Cr.24</t>
  </si>
  <si>
    <t>Dr.125</t>
  </si>
  <si>
    <t>Dr.126</t>
  </si>
  <si>
    <t>Cr.25 &amp; Jv.122</t>
  </si>
  <si>
    <t>Dr.127</t>
  </si>
  <si>
    <t>Dr.128</t>
  </si>
  <si>
    <t>Voucher No: 122</t>
  </si>
  <si>
    <t>Bonas(Security Gard)</t>
  </si>
  <si>
    <t>Safety Equipment</t>
  </si>
  <si>
    <t>Labour(Safety Euipment)</t>
  </si>
  <si>
    <t>Carrying Cost(Safety Equipment)</t>
  </si>
  <si>
    <t>Refund(Cash)</t>
  </si>
  <si>
    <t xml:space="preserve">Dr.120 </t>
  </si>
  <si>
    <t>Dr.122 &amp; Jv.121</t>
  </si>
  <si>
    <t>29.08.2018</t>
  </si>
  <si>
    <t xml:space="preserve">High &amp; Low Bed Rent </t>
  </si>
  <si>
    <t>Advance to Faisal Akhand Prince For Polymer,Welding Rod &amp; G.I Wire Purpose At Rampal Project</t>
  </si>
  <si>
    <t>Online Charge(For Sending Low Bed Rent by IBBL)Himel</t>
  </si>
  <si>
    <t>Conveyance to Himel(KPL to IBBL &amp; IBBL to KPL)  for Sending Low Bed  Rent</t>
  </si>
  <si>
    <t>Ikhtear Sir(217600)</t>
  </si>
  <si>
    <t>Bkash Charge for Sending Money of Azizul Haqs Conveyance at Rampal Project</t>
  </si>
  <si>
    <t>01.09.2018</t>
  </si>
  <si>
    <t>Management Cost(For The Month of July-2018)Paid to KPL Construction &amp; Developers Limited.</t>
  </si>
  <si>
    <t>Management Cost(August-2018)Payment to KPL Construction &amp; Developers Limited</t>
  </si>
  <si>
    <t>Bkash Charge For Sending Advance money of Engr.Abu Taher At Rampal Project</t>
  </si>
  <si>
    <t>02.09.2018</t>
  </si>
  <si>
    <t>03.09.2018</t>
  </si>
  <si>
    <t>04.09.2018</t>
  </si>
  <si>
    <t>Advance to Faisal Akhand Prince for Cutting Machine,Welding Machine,Bending Machine for Rampal Project</t>
  </si>
  <si>
    <t>Bkash Charge for Sending Money Of Bappy for CTG Visiting for Continer Purchasing Purpose At Rampal Project</t>
  </si>
  <si>
    <t>Advance to Bappy For CTG Visiting for Continer Purchasing Purpose At Rampal Project</t>
  </si>
  <si>
    <t>Refund Loan Amount From A One Construction &amp; Logistic</t>
  </si>
  <si>
    <t>Cash Withdraw from MBL(CA-4435202)</t>
  </si>
  <si>
    <t>Advance to Tarif Engineering Services For Piling Casting At Rampal Project</t>
  </si>
  <si>
    <t>Tarif Engr.(Piling Casting)</t>
  </si>
  <si>
    <t>Mobile Bill(Afzal Sir)Office(September-2018)</t>
  </si>
  <si>
    <t>`</t>
  </si>
  <si>
    <t>Advance Crane Rent to A.H Cargo Service</t>
  </si>
  <si>
    <t>Cash Withdraw From MBL(CA-4435202)</t>
  </si>
  <si>
    <t>A.H Cargo Service(Crane Rant)</t>
  </si>
  <si>
    <t>Echange Limited(H,D,E Rent)</t>
  </si>
  <si>
    <t>Payment to Faisal Akhand Prince for Sticker</t>
  </si>
  <si>
    <t>05.09.2018</t>
  </si>
  <si>
    <t>Advance to Monowar For Fabrication works At Rampal Project</t>
  </si>
  <si>
    <t>Monowar(Fabrication)</t>
  </si>
  <si>
    <t>Advance to Eva Nova Gas House for Rod Cuter,Welding machine,Cable(Khulna)</t>
  </si>
  <si>
    <t>06.09.2018</t>
  </si>
  <si>
    <t>09.09.2018</t>
  </si>
  <si>
    <t>Dr.129</t>
  </si>
  <si>
    <t>Dr.130</t>
  </si>
  <si>
    <t>Dr.131</t>
  </si>
  <si>
    <t>Dr.132</t>
  </si>
  <si>
    <t>Payment to Azizul Haq For Coveyance Purpose At Rampal</t>
  </si>
  <si>
    <t>Bkash Charge for Sending Money Of Bappy for CTG Visiting for Container Purchasing Purpose At Rampal Project</t>
  </si>
  <si>
    <t>Advance to Bappy For CTG Visiting for Container Purchasing Purpose At Rampal Project</t>
  </si>
  <si>
    <t>Akbar Electric(Cable)</t>
  </si>
  <si>
    <t>Eng.Saber</t>
  </si>
  <si>
    <t>Eng.Abu Taher</t>
  </si>
  <si>
    <t>Bkash charge For Sending Money of Saber for Welding Bill &amp; Hotel Bill Purpose</t>
  </si>
  <si>
    <t>T.M Enterprise(Container)</t>
  </si>
  <si>
    <t>10.09.2018</t>
  </si>
  <si>
    <t>11.09.2018</t>
  </si>
  <si>
    <t>Advance to Md.Akbar Electric For (4X16)RM 150 Metre Cable</t>
  </si>
  <si>
    <t>Bank Online Charge for Sending Container Purchase Money to T.M Enterprise</t>
  </si>
  <si>
    <t>12.09.2018</t>
  </si>
  <si>
    <t>Advance Salary to Shahin</t>
  </si>
  <si>
    <t>Advance to Faisal Akhand Prince for Flood Light Carrying Purpose At Rampal Project</t>
  </si>
  <si>
    <t>Bkash Charge For Sending  Advance Salary of Shahin &amp; Advance to Prince for Flood Light Carrying Purpose</t>
  </si>
  <si>
    <t>H.S Autos Ltd(Motor Bike)</t>
  </si>
  <si>
    <t xml:space="preserve">Loan Refund From A One </t>
  </si>
  <si>
    <t>Shahin</t>
  </si>
  <si>
    <t>13.09.2018</t>
  </si>
  <si>
    <t>Loan Received from Kibria Sir</t>
  </si>
  <si>
    <t>15.09.2018</t>
  </si>
  <si>
    <t>16.09.2018</t>
  </si>
  <si>
    <t>Bkash Charge For Sending Money of M.S Pipe purchase Purpose</t>
  </si>
  <si>
    <t>Loan to A One Construction For LC Purpose(CA-2702296)</t>
  </si>
  <si>
    <t>Loan Refund From A One Construction By Cash Cheque</t>
  </si>
  <si>
    <t>17.09.2018</t>
  </si>
  <si>
    <t>Online Charge For Sending Money of Monowar for Fabrication Works At Rampal Project</t>
  </si>
  <si>
    <t>18.09.2018</t>
  </si>
  <si>
    <t>19.09.2018</t>
  </si>
  <si>
    <t>Bkash Charge for Sending Money Of Crane Rent At Maju Kha,Gazipor For Rampal Project.</t>
  </si>
  <si>
    <t>Conveyance to Himel &amp; Hridoy(KPL to IBBL to IBB to KPL )For Sending Money Of Taher Advances At Rampal</t>
  </si>
  <si>
    <t>Salary Expense(August-2018)(2 Employees)Shafiq &amp; Sohan</t>
  </si>
  <si>
    <t>Online Charge For Sending Salary Of Shafiq &amp; Sohan By City Bank</t>
  </si>
  <si>
    <t>Conveyance to Hridoy For Sending Salary Of Shafiq &amp; Sohan(KPL to City Bank &amp; City Bank to KPL)</t>
  </si>
  <si>
    <t>20.09.2018</t>
  </si>
  <si>
    <t>Advance to Engr.Abu Taher For 2500 Litre Diesel Other Site Expense At Rampal Project.</t>
  </si>
  <si>
    <t>22.09.2018</t>
  </si>
  <si>
    <t>Bkash Charge For Sending Money Of Engr.Abu Taher for Raincote Purpose At Rampal Project.</t>
  </si>
  <si>
    <t>Advance to Engr.Abu Taher for Pic Up Rent Of Polymer &amp; Other Expense Purpose At Rampal Project.</t>
  </si>
  <si>
    <t>23.09.2018</t>
  </si>
  <si>
    <t>21.09.2018</t>
  </si>
  <si>
    <t>Mamon(Tripot Machine Repair)</t>
  </si>
  <si>
    <t>Transport Cost of Tripod(Dhaka to Rampal Project)</t>
  </si>
  <si>
    <t>Payment to Faisal Akhand Prince for Octane Purpose(Goran to Mohammadpur to Goran to Tongi to Mohammadpur)</t>
  </si>
  <si>
    <t>Octane Bill Purpose For Visiting Rampal Project(Kibria Sir,Ikhtear Sir &amp; Afzal Sir)</t>
  </si>
  <si>
    <t>Conveyance Bill For Visiting Rampal Project(Kibria Sir,Ikhtear Sir &amp; Afzal Sir)</t>
  </si>
  <si>
    <t>Crane Rent(Mamon)</t>
  </si>
  <si>
    <t xml:space="preserve"> Mahfuja Traders(Polymer)</t>
  </si>
  <si>
    <t>Labour Tips For Tripod &amp; Tripod Machine Shipment Purpose At Moahmmadpor &amp; Maju Kha,Tongi. For Rampal Project.</t>
  </si>
  <si>
    <t>Advance to Bappy for Cookeries Items &amp; Food Purpose At Rampal Project.</t>
  </si>
  <si>
    <t>Bkash Charge for Sending Due Amount- 770 &amp; Advance Amount Of Bappys-8230 At Rampal Project</t>
  </si>
  <si>
    <t>24.09.2018</t>
  </si>
  <si>
    <t>Payment to Ikhtear Sir For Car Rent For Rampal Project(Mawa to Rampal &amp; Rampal to Mawa for full day)</t>
  </si>
  <si>
    <t>Car Rent</t>
  </si>
  <si>
    <t>Motor Bike</t>
  </si>
  <si>
    <t>25.09.2018</t>
  </si>
  <si>
    <t>Hridoy</t>
  </si>
  <si>
    <t>26.09.2018</t>
  </si>
  <si>
    <t>Payment to Prince For Lunch Bill Purpose For Rampal Project.</t>
  </si>
  <si>
    <t>Payment to Prince For Octane Bill Purpose (Goran to Mahammadpor to Sadar Ghat to Hatkhola to Goran For Rampal Project.</t>
  </si>
  <si>
    <t>Advance to Faisal Akhand Prince for ID Card Purpose</t>
  </si>
  <si>
    <t>Maintenance Exp.</t>
  </si>
  <si>
    <t>Labour Cost</t>
  </si>
  <si>
    <t>Polymer</t>
  </si>
  <si>
    <t>Electric Cable</t>
  </si>
  <si>
    <t>Flood Light &amp; Sirket Beker</t>
  </si>
  <si>
    <t>Rod Bending Machine</t>
  </si>
  <si>
    <t>Drill Machine</t>
  </si>
  <si>
    <t xml:space="preserve">G.I Wire </t>
  </si>
  <si>
    <t>Adjustment Against Advance Amount of H.S Autos Ltd.(Motor Bike)(Bill Amount-155100 Less Advance Amount-155100)=Nill</t>
  </si>
  <si>
    <t>Carrying Cost(Polymer)</t>
  </si>
  <si>
    <t>Safety Shoes</t>
  </si>
  <si>
    <t>Sun Glass</t>
  </si>
  <si>
    <t>Helmat</t>
  </si>
  <si>
    <t>Internet Bill</t>
  </si>
  <si>
    <t>27.09.2018</t>
  </si>
  <si>
    <t>Advance to Faisal Akhand Prince For Trime Pipe,Mobil Filter &amp; Transeport Cost Of Trime Pipe For Paramount Project.</t>
  </si>
  <si>
    <t>Engr.Abu Taher</t>
  </si>
  <si>
    <t>Advance to Engr.Abu Taher For Rampal Project</t>
  </si>
  <si>
    <t>Advance to Engr.Abu Taher For site Expense (Tripol &amp; Securities Advance)at Rampal Project(Joy)</t>
  </si>
  <si>
    <t>Advance to Engr.Abu Taher For Transport Cost(High &amp; Low Bed)Vibro Hammer &amp; Excavator Shipment At Rampal</t>
  </si>
  <si>
    <t>30.09.2018</t>
  </si>
  <si>
    <t>Mamon(Tripod Machine Repair)</t>
  </si>
  <si>
    <t>Advance to Mamon Engineering Workshop(Maju Khan,Tongi)For Tripod Machine Repairing Purpose for Rampal Project.</t>
  </si>
  <si>
    <t>Shaon Engineering (Asset)</t>
  </si>
  <si>
    <t>Sea Link International(Diesel)</t>
  </si>
  <si>
    <t>Advance to Mamon Engineering Workshop(Maju Khan,Tongi)For Tripod Machine Repairing Purpose for Rampal Project.By DBBL</t>
  </si>
  <si>
    <t>Loan Received From Kibria Sir for Rampal Project</t>
  </si>
  <si>
    <t>Ikhtear Sir(400600)</t>
  </si>
  <si>
    <t>01.10.2018</t>
  </si>
  <si>
    <t>R/S Enterprise(Low Bed Rent)</t>
  </si>
  <si>
    <t>Bkash Charge for Sending Money of Hridoy Advance At Rampal Project.</t>
  </si>
  <si>
    <t>Advance to Hridoy For Grease 10kg,Hose Pipe Making &amp; G.I Wire 50 kg At Rampal Project(By Bkash)Via Saber Hossain.</t>
  </si>
  <si>
    <t>Shaon Engineering(Jalal)</t>
  </si>
  <si>
    <t>02.10.2018</t>
  </si>
  <si>
    <t>Crane Rent For Auger Shipment(Johura Motors)</t>
  </si>
  <si>
    <t>Transportation Cost For Auger Carring(Social Paribhan)</t>
  </si>
  <si>
    <t>Labour Cost For Auger Purpose</t>
  </si>
  <si>
    <t>Electric Cable(Asset)</t>
  </si>
  <si>
    <t>Drill Machine(Asset)</t>
  </si>
  <si>
    <t>Rod Bending Machine(Asset)</t>
  </si>
  <si>
    <t>Flood Light &amp; Sirket Beker(Asset)</t>
  </si>
  <si>
    <t>Management Cost(September-2018)Payment to KPL Construction &amp; Developers Limited</t>
  </si>
  <si>
    <t>03.10.2018</t>
  </si>
  <si>
    <t>Payment to Ikhtear Sir For Octane Purpose For Visiting At Rampal Project.</t>
  </si>
  <si>
    <t>Payment to Ikhtear Sir For Conveyance Purpose(Dhaka to Rampal &amp; Rampal to Dhaka)For Visiting Rampal Project.</t>
  </si>
  <si>
    <t>Payment to Ikhtear Sir For Lunch Bill Purpose For Visiting Rampal Project.</t>
  </si>
  <si>
    <t>04.10.2018</t>
  </si>
  <si>
    <t>Advance to Hridoy For Mud Pump Repair &amp; Site Materials Items At Rampal Project.(By Uttara Bank A/C)</t>
  </si>
  <si>
    <t>Advance to Sea Link International For (2000 LitreX66) Diesel At Rampal Project.(By IBL A/C)</t>
  </si>
  <si>
    <t>House Rent (At Rampal Project)(Bappy)</t>
  </si>
  <si>
    <t>06.10.2018</t>
  </si>
  <si>
    <t>07.10.2018</t>
  </si>
  <si>
    <t>Mobile Bill(Afzal Sir)(October-2018)Official Purpose</t>
  </si>
  <si>
    <t>Bkash Charge for Sending Money of Hridoy Advance (tk.15000)At Rampal Project.</t>
  </si>
  <si>
    <t>Advance to Hridoy For Electric Wire,Fire Extinguisher,40 Litre Mobile &amp; Other Site Expenses At Rampal Project.(Bank &amp; Bkash)</t>
  </si>
  <si>
    <t>Advance to Hridoy for Diesel &amp; Other Site Expense At Rampal Project.(Via Belal with DBBL A/C)</t>
  </si>
  <si>
    <t>Advance to Hridoy for Advance House Rent &amp; Electric Items At Rampal Project.(By Uttara Bank A/C)</t>
  </si>
  <si>
    <t>Payment to Kibria Sir For Air Ticket Purpose For Visiting Rampal Project(Jashore to Dhaka)</t>
  </si>
  <si>
    <t>09.10.2018</t>
  </si>
  <si>
    <t>Advance to Tarif Engineering Services For Piling Casting At Rampal Project(Al-Arafah Islami Bank)</t>
  </si>
  <si>
    <t>10.10.2018</t>
  </si>
  <si>
    <t>Loan Received From Shipon Sir</t>
  </si>
  <si>
    <t>Shipon Sir</t>
  </si>
  <si>
    <t>Himel</t>
  </si>
  <si>
    <t>Payment to Rasel(Crane Operator)For Overtime Purpose At Rampal Project.Via Md.Karim Hossain A/C,Janata Bank.</t>
  </si>
  <si>
    <t>Over Time(Crane Operator)</t>
  </si>
  <si>
    <t>Conveyance to Liton For Sending Money of Ekota Enterprise,Sea Link International &amp; Rasel(Crane Operator) At Rampal Project</t>
  </si>
  <si>
    <t>Online Charge For Sending Overtime Money Of Rasel(Crane Operator)At Rampal Project.</t>
  </si>
  <si>
    <t>11.10.2018</t>
  </si>
  <si>
    <t>14.10.2018</t>
  </si>
  <si>
    <t>Salary Expense(September-2018)(19 Employees)</t>
  </si>
  <si>
    <t>Online Charge For Sending Salary  Money Of Two Employee.</t>
  </si>
  <si>
    <t>Conveyance to Liton For Sending Salary Money &amp; Advance Money Of Sea Link International  At Rampal Project</t>
  </si>
  <si>
    <t>Yard Rent(September &amp; October-2018) Juhora Motors</t>
  </si>
  <si>
    <t>Loan Payment to Kibria Sir(CA-2702295)By Cash Cheque(Somon Sir)</t>
  </si>
  <si>
    <t>15.10.2018</t>
  </si>
  <si>
    <t>Online Charge For Sending Salary  Money Of One  Employee.(Shafiqul Islam,Rig Operator)</t>
  </si>
  <si>
    <t>Conveyance to Engr.Mahfujur Rahman For Sending Salary Money Of Shafiqul Islam.(Rig Operator)</t>
  </si>
  <si>
    <t>Site Materials Expense</t>
  </si>
  <si>
    <t>Entertainment Expense</t>
  </si>
  <si>
    <t>Printing &amp; Stationery</t>
  </si>
  <si>
    <t>Grease Purchase</t>
  </si>
  <si>
    <t>Tips(Bonus)</t>
  </si>
  <si>
    <t>G.I Wire Purchase</t>
  </si>
  <si>
    <t>Fixed Assed(Motor,Cylinder,Cable,Fan,Fire Extigusher)</t>
  </si>
  <si>
    <t>Fuel Expense(Mobil,Patrol,Diesel)</t>
  </si>
  <si>
    <t>Maintenance Expense</t>
  </si>
  <si>
    <t>House Rent(October-2018)</t>
  </si>
  <si>
    <t>Medical Expense</t>
  </si>
  <si>
    <t>Advance to Baapy (For Meal Purpose)</t>
  </si>
  <si>
    <t>Advance Pic Up Rent(Battery Purpose)</t>
  </si>
  <si>
    <t>Labour</t>
  </si>
  <si>
    <t>Advance Salary:</t>
  </si>
  <si>
    <t>Engr. Saber</t>
  </si>
  <si>
    <t>Abu Bokor</t>
  </si>
  <si>
    <t>Loan &amp; Advance(Rafsan Hridoy)</t>
  </si>
  <si>
    <t>Adjustment Against Advance Amount Of Hridoy(Bill Amount-291805 Less Advance Amount-280000)=Due 11805 is Paid</t>
  </si>
  <si>
    <t>Pic Up Rent</t>
  </si>
  <si>
    <t>Lin Cylinder</t>
  </si>
  <si>
    <t>Mud pump</t>
  </si>
  <si>
    <t>Fire Extingusher</t>
  </si>
  <si>
    <t>ACD Lin Cylinder</t>
  </si>
  <si>
    <t>Grease</t>
  </si>
  <si>
    <t>20.10.2018</t>
  </si>
  <si>
    <t>Advance to Hridoy For Cook Salary,Site Raw Expenses,Printing(Sticker)Angle &amp; Other Expenditure At Rampal Project.(Hand Cash)</t>
  </si>
  <si>
    <t>21.10.2018</t>
  </si>
  <si>
    <t>Advance to Ekota Enterprise For 8" Treeme Pipe At Rampal Project(By Brac Bank)</t>
  </si>
  <si>
    <t>Dr.133</t>
  </si>
  <si>
    <t>Dr.134</t>
  </si>
  <si>
    <t>Dr.135</t>
  </si>
  <si>
    <t>Conveyance Expense(7 Days)(Nizam &amp; Bappy)</t>
  </si>
  <si>
    <t>Entertainment Expense(Breakfast,Lunch &amp; Dinner With Nizam)(7 Days)</t>
  </si>
  <si>
    <t>Conveyance to Hridoy(Himel,Saber,Prince,Monju,Cook,Excavator Operator,Toll Plaza,&amp; Others)At Rampal Project.(17 Days)=Tk.8111</t>
  </si>
  <si>
    <t>Printing &amp; Stationery(Photocopy,Stationery,Pocket Note Book,Registered Paper)=Tk.3520</t>
  </si>
  <si>
    <t>Tips(Pic Up Driver-300 &amp; 1000,Excavator Operator-200,Vibro Hammer Operator-1000)=Tk.2500</t>
  </si>
  <si>
    <t>Grease(10 KGX130)=Tk.1300</t>
  </si>
  <si>
    <t>G.I Wire(3 Coil,2 Coil &amp; 4 Coil)=Tk.22000</t>
  </si>
  <si>
    <t>Fixed Assets(Cable-14000 &amp; 6760,ACD Lin Cylinder-18000,Mud Pump-2320 &amp; 13500,Wall Fan-1800,Fire Extingusher-4000)=Tk.60380</t>
  </si>
  <si>
    <t>Repair &amp; Maintenance(Rig Machine Glass Repair,5 Mud Pump Repair17900 &amp; 2000,Hydrolic Pipe Repair)=Tk.33900</t>
  </si>
  <si>
    <t>Fuel Expenses(Rig Mobil-40X350Litre,Bike Mobil 1X350,Diesel 7.6X65 For Pic Up,Bike Patrol 11.6X86)=Tk.15850</t>
  </si>
  <si>
    <t>Maintenance Expense(Speaker &amp; Others)=Tk.10189</t>
  </si>
  <si>
    <t>House Rent(Digraj Bazar Month Of October-2018 For Employee)=Tk.13500</t>
  </si>
  <si>
    <t>Medical Expenses(Azizul Haq,Eight Box)=Tk.1155</t>
  </si>
  <si>
    <t>Advance to Bappy For Meal Purpose(26.09.2018)=Tk.10000</t>
  </si>
  <si>
    <t>Advance  Pic Up Rent For Battery Purpose=Tk.2000</t>
  </si>
  <si>
    <t>Labour(For Carrying Of Hydrolic Pipe, G.I Wire, &amp; Grease)=Tk.200</t>
  </si>
  <si>
    <t>Advance salary to Engr.Saber For Mobile Purpose(25.09.2018)=Tk.17000</t>
  </si>
  <si>
    <t>Advance Salary to Bokor(25.09.2018)=Tk.500</t>
  </si>
  <si>
    <t>22.10.2018</t>
  </si>
  <si>
    <t>Advance to Hridoy For Treeme Pipe,Angle &amp; G.I wire At Rampal Project.(Uttara Bank A/C)</t>
  </si>
  <si>
    <t>Advance to R.S Enterprise For Low Bed Rent At Rampal Project.</t>
  </si>
  <si>
    <t>Advance to Engr.Abu Taher for Labour Shed Rent Purpose &amp; Disel of Crane At Rampal Project.DBBL A/C-Abu Taher</t>
  </si>
  <si>
    <t>Adjustment Against Advance Amount Of Engr.Taher(Bill Amount Tk.55575 Less Advance Amount Tk.40100)Due Amount=15475 Paid</t>
  </si>
  <si>
    <t>Advance Land Rent Tk.22000</t>
  </si>
  <si>
    <t>House Rent Tk.10000</t>
  </si>
  <si>
    <t>Conveyance Expenses Tk.1260</t>
  </si>
  <si>
    <t>Fuel Expenses Tk.2600</t>
  </si>
  <si>
    <t>Bkash Charge Tk.100</t>
  </si>
  <si>
    <t>Site Raw Expense Tk.4605</t>
  </si>
  <si>
    <t>Entertainment Expenses Tk.1410</t>
  </si>
  <si>
    <t>Crane Rent(M/S Tareq Steel)Tk.11600</t>
  </si>
  <si>
    <t>Hotel Rent Tk.2000</t>
  </si>
  <si>
    <t>Adjustment Against Advance Amount Of Prince(Adbance Amount Tk.100000 Less Bill Amount Tk.95653)Balance Amount=4347 Refund</t>
  </si>
  <si>
    <t>Engr.Saber Tk.8000</t>
  </si>
  <si>
    <t>Azizul Haq Tk.2000</t>
  </si>
  <si>
    <t>Mobile Bill Tk.100</t>
  </si>
  <si>
    <t>Tips(Security Gard)Tk.6000</t>
  </si>
  <si>
    <t>Bkash Charge Tk.210</t>
  </si>
  <si>
    <t>Entertainment Expenses Tk.504</t>
  </si>
  <si>
    <t>Labour(Safety Equipment)Tk.500</t>
  </si>
  <si>
    <t>Carrying Cost(Safety Equipment)Tk.11000</t>
  </si>
  <si>
    <t>Conveyance Expenses Tk.504</t>
  </si>
  <si>
    <t>Entertainment Expense(Breakfast 2 Person)Tk.400</t>
  </si>
  <si>
    <t>Fuel Expense(Octane 3.37 LitreX89)Tk.300</t>
  </si>
  <si>
    <t>Tripod(Asset)Tk.142290</t>
  </si>
  <si>
    <t>Making Cost(Tripod)Tk.10000</t>
  </si>
  <si>
    <t>Labour For Carrying Tripod Tk.1500</t>
  </si>
  <si>
    <t>Adjustment Against Advance Amount Of Prince (Advance Amount-Tk.6000 Less Bill Amount Tk.5444)Balance Amount =556 Refund</t>
  </si>
  <si>
    <t>Adjustment Against Advance Amount Of Prince(Advance Amount Tk.160000Less Bill Amount Tk.158490)Balance Amount=Tk.1510 Refund.</t>
  </si>
  <si>
    <t>Cr.26 &amp; Jv.123</t>
  </si>
  <si>
    <t>Printing &amp; Stationary(ID Card,Rivon &amp; Cever Bay Print)(38X50)(38X75)(38X13)Tk.5244</t>
  </si>
  <si>
    <t>Conveyance Expense(Office to Arambag &amp; Arambag to Office)Tk.200</t>
  </si>
  <si>
    <t>Voucher No: 123</t>
  </si>
  <si>
    <t>Conveyance to Liton For Sending Money of Sea Link International  At Rampal Project(Office to IBBL &amp; IBBL to Office)</t>
  </si>
  <si>
    <t>Dr.136</t>
  </si>
  <si>
    <t>Advance to Engr.Abu Taher for Site Raw Materials At Rampal Project(By Bkash)</t>
  </si>
  <si>
    <t>Dr.137</t>
  </si>
  <si>
    <t>Cr.27</t>
  </si>
  <si>
    <t>Dr.138</t>
  </si>
  <si>
    <t>Dr.158</t>
  </si>
  <si>
    <t>Dr.139</t>
  </si>
  <si>
    <t>Cr.28</t>
  </si>
  <si>
    <t>Advance to Engr.Abu Taher for House Rent, Advance House Rent &amp; Site Raw Materials At Rampal Project(By DBBL)</t>
  </si>
  <si>
    <t>Dr.140</t>
  </si>
  <si>
    <t>Dr.141</t>
  </si>
  <si>
    <t>Dr.142</t>
  </si>
  <si>
    <t>Dr.143</t>
  </si>
  <si>
    <t>Dr.144</t>
  </si>
  <si>
    <t>Dr.145</t>
  </si>
  <si>
    <t>Refund from Prince(Adjustment Advance Amount Tk. 445000 Less Refund Tk.200000)Balance Amount=Tk.245000</t>
  </si>
  <si>
    <t>Cr.29 &amp; Jv.124</t>
  </si>
  <si>
    <t>Cr.30</t>
  </si>
  <si>
    <t>Voucher No: 124</t>
  </si>
  <si>
    <t>Refund Loan Amount From A One Construction &amp; Logistic(Loan Amount Tk.3200000 Less  Refund Amound Tk.1000000)Balance=Tk.2200000</t>
  </si>
  <si>
    <t>Dr.146</t>
  </si>
  <si>
    <t>Dr.147</t>
  </si>
  <si>
    <t>Dr.148</t>
  </si>
  <si>
    <t>Dr.149</t>
  </si>
  <si>
    <t>Dr.150</t>
  </si>
  <si>
    <t>Dr.151</t>
  </si>
  <si>
    <t>Dr.152</t>
  </si>
  <si>
    <t>Dr.153</t>
  </si>
  <si>
    <t>Dr.154</t>
  </si>
  <si>
    <t>Dr.155</t>
  </si>
  <si>
    <t>Dr.156</t>
  </si>
  <si>
    <t>Dr.157</t>
  </si>
  <si>
    <t>Dr.159</t>
  </si>
  <si>
    <t>Dr.160</t>
  </si>
  <si>
    <t>Dr.161</t>
  </si>
  <si>
    <t>Dr.162</t>
  </si>
  <si>
    <t>Dr.163</t>
  </si>
  <si>
    <t>Dr.164</t>
  </si>
  <si>
    <t>Dr.165</t>
  </si>
  <si>
    <t>Dr.166</t>
  </si>
  <si>
    <t>Dr.167</t>
  </si>
  <si>
    <t>Dr.168</t>
  </si>
  <si>
    <t>Dr.169</t>
  </si>
  <si>
    <t>Dr.170</t>
  </si>
  <si>
    <t>Dr.171</t>
  </si>
  <si>
    <t>Dr.172</t>
  </si>
  <si>
    <t>Dr.173</t>
  </si>
  <si>
    <t>Advance to Saber for Welding Bill of Low Bed &amp; Hotel Bill Purpose(Arial Kha)For Rampal Project.(By Bkash)</t>
  </si>
  <si>
    <t>Conveyance to Himel &amp; Imran(KPL to IBBL,Azampur to A ONE to IBBL,Azmpur to KPL)For Received Refund Loan From A One Tk.1000000</t>
  </si>
  <si>
    <t>23.10.2018</t>
  </si>
  <si>
    <t>Advance to Hridoy For Pic- Up Rent &amp; Excavator,Crane,Vibro Hammer,Dump Truck Operators Fooding Purpose At Rampal Project.(Uttara Bank A/C)</t>
  </si>
  <si>
    <t>Conveyance to Imran For Sending Advance  Money Of Hridoy(Office to Uttara Bank &amp; Uttara Bank to Office) At Rampal Project.</t>
  </si>
  <si>
    <t>Advance to T.M Enterprise for Container Purchase(By UCB Bank A/C)</t>
  </si>
  <si>
    <t>Advance to H.S Autos Ltd For Motor Bike Purchase Purpose(By MTB A/C)</t>
  </si>
  <si>
    <t>Bank Online Charge Sending Money Of A.H Autos Ltd For Motor Bike Purpose</t>
  </si>
  <si>
    <t>Payment to Rabeya Akhter For High Bed Rent At Rampal Project(By IBBL A/C)</t>
  </si>
  <si>
    <t>Advance to R.S Enterprise For Low Bed Rent At Rampal Project.(By Uttara Bank A/C)</t>
  </si>
  <si>
    <t>Payment to Jakaria for Low Bed Rent for Vibro Hammer &amp; Excavator Shipment At Rampal(By IBBL A/C)</t>
  </si>
  <si>
    <t>Advance to Enrg.Taher for Disel 300 Litre ,Nut Bolt &amp; Truck Fare At Rampal Project.(By DBBL A/C)</t>
  </si>
  <si>
    <t>Advance to Eva Nova Gas House for Rod Cuter,Welding machine,Cable(Khulna)(By Pobali Bank A/C)</t>
  </si>
  <si>
    <t>Advance to Monowar For Fabrication works At Rampal Project(By AAIB A/C)</t>
  </si>
  <si>
    <t>Advance to Tarif Engineering Services For Piling Casting At Rampal Project(By AAIB A/C)</t>
  </si>
  <si>
    <t>Salary Expense(For the Month Of August-2018)(11 Employees)</t>
  </si>
  <si>
    <t>Engr.Abu Taher Tk.12000</t>
  </si>
  <si>
    <t>Nizam Uddin Tk.5000</t>
  </si>
  <si>
    <t>Azizul Haq Tk.12000</t>
  </si>
  <si>
    <t>Jv.125</t>
  </si>
  <si>
    <t>Adjustment(Advance Salary) With the Month Of August-2018 Salaries</t>
  </si>
  <si>
    <t>Voucher No: 125</t>
  </si>
  <si>
    <t>Salary Expense(Nizam Uddin)</t>
  </si>
  <si>
    <t>Salary Expense(Engr.Saber)</t>
  </si>
  <si>
    <t>Advance Salary(Engr.Saber)</t>
  </si>
  <si>
    <t>Advance Salary Nizam Uddin</t>
  </si>
  <si>
    <t>Advance to Eng.Taher for 200 Litre Disel Purpose At Rampal(By Uttara Bank A/C)</t>
  </si>
  <si>
    <t>Advance to Faisal Akhand Prince for Flood Light(12 Pices)At Rampal Project(By Uttara Bank A/C)</t>
  </si>
  <si>
    <t>Advance to Eng.Taher for Disel,Scoket,G.I Pipe Purpose At Rampal(By DBBL A/C)</t>
  </si>
  <si>
    <t>Advance to Engr.Abu Taher for M.S Pipe For flood light Fiting At Rampal Project(By Bkash Via Engr.Saber)</t>
  </si>
  <si>
    <t>Advance to Engr.Abu Taher For Diesel 1000 Litre,(4xRM)(3XRM)Cable &amp; Site Raw Expense At Rampal(By DBBL A/C)65000+50000(Bilal Khan)</t>
  </si>
  <si>
    <t>Cr.31</t>
  </si>
  <si>
    <t>Refund Loan Amount From A One Construction &amp; Logistic(Remaining Balance Tk.2200000 Less Refund Amound Tk.1200000)=Tk.1000000.</t>
  </si>
  <si>
    <t>Dr.174</t>
  </si>
  <si>
    <t>Dr.175</t>
  </si>
  <si>
    <t>Dr.176</t>
  </si>
  <si>
    <t>Dr.177</t>
  </si>
  <si>
    <t>Dr.178</t>
  </si>
  <si>
    <t>Dr.179</t>
  </si>
  <si>
    <t>Dr.180</t>
  </si>
  <si>
    <t>Dr.181</t>
  </si>
  <si>
    <t>Dr.182</t>
  </si>
  <si>
    <t>Dr.183</t>
  </si>
  <si>
    <t>Advance to Engr.Abu Taher For Wire Roof,Poly.Chair,Table,Mobil Filter,Disel Filter etc.  At Rampal Project.(By IBBL A/C Via Saber)</t>
  </si>
  <si>
    <t xml:space="preserve">Crane Rent For Rig Machine /Tripod Machine Load At Mazu Khan,Gazipur For Rampal Project </t>
  </si>
  <si>
    <t xml:space="preserve">Crane Rent For Rig Machine/Tripod Machine Load At Mazu Khan,Gazipur For Rampal Project </t>
  </si>
  <si>
    <t>Advance to Mahfuja Traders For Polymer Purchase Purpose For Rampal Project.(By MTB Bank A/C)</t>
  </si>
  <si>
    <t>Advance to Engr.Abu Taher For Diesel 800 Litre At Rampal Project.(By DBBL A/C)</t>
  </si>
  <si>
    <t>Advance to Engr.Saber(07.08.2018)</t>
  </si>
  <si>
    <t>Payment to Somon Sir For Kibria Sir Visa Purpose</t>
  </si>
  <si>
    <t>Advance to Hridoy For Bucket Plate Repair &amp; Others Expenditure At Rampal Project.(By Uttara Bank)Via Himel A/C</t>
  </si>
  <si>
    <t>Hotel Rent(3Days)</t>
  </si>
  <si>
    <t>Dr.184 &amp; Jv.126</t>
  </si>
  <si>
    <t>Voucher No: 126</t>
  </si>
  <si>
    <t>Entertainment Expense(Breakfast,Lunch &amp; Dinner)7 Days</t>
  </si>
  <si>
    <t>Loan &amp; Advance(Bappy)</t>
  </si>
  <si>
    <t>Loan &amp; Advance ( Engr.Saber)(07.08.2018)</t>
  </si>
  <si>
    <t>Dr.185</t>
  </si>
  <si>
    <t>Dr.186</t>
  </si>
  <si>
    <t>Payment to Shaon Engineering for Cutting Plat,Teeth,Holder.(By DBBL A/C) Via Jalal Engineering A/C</t>
  </si>
  <si>
    <t>25.10.2018</t>
  </si>
  <si>
    <t>25.10.2019</t>
  </si>
  <si>
    <t>Carrying Cost(Tripod)Tk.4000(Postogola to Mohammadpur)For Making</t>
  </si>
  <si>
    <t>Advance to Hridoy For Mobile(40LitreX350),Hose Pipe &amp; Others Materials At Rampal Project.(By Bkash)</t>
  </si>
  <si>
    <t>Bkash Charge For Sending Money Of Hridoys Advance At Rampal Project.</t>
  </si>
  <si>
    <t>27.10.2018</t>
  </si>
  <si>
    <t>Fire Extinguisher</t>
  </si>
  <si>
    <t>Mobil Filter Purchase From Nawabpur  For Rig Machines At Rampal Project.</t>
  </si>
  <si>
    <t>Safety Equipment(Safety Shoes,Gambot,Vest,Helmet,Caution,)For Rampal Project.</t>
  </si>
  <si>
    <t>28.10.2018</t>
  </si>
  <si>
    <t>Loan Received From Afzal Sir For Site Expense At Rampal Project.</t>
  </si>
  <si>
    <t>Advance to Aroj Ali &amp; Co. For 1600 LitreX65 Diesel Purpose At Rampal Project.</t>
  </si>
  <si>
    <t>Advance to Hridoy For Courier Charge Of Safety Equipment,Water Pump Repair,Cook House Built At Rampal Project.(By Uttara Bank A/C)</t>
  </si>
  <si>
    <t>Aroj Ali &amp; Co.(Diesel)</t>
  </si>
  <si>
    <t>Visa Fees</t>
  </si>
  <si>
    <t>Conveyance to Imran For Sending Money Of Hridoy &amp; Aroj Ali &amp; Co.(Office to Trust Bank to Uttara Bank to Office) At Rampal Project.</t>
  </si>
  <si>
    <t>Advance to Engr.Abu Taher For Labour Sheet Rent For the Month Of September-2018 At Rampal Project.(DBBL A/C).</t>
  </si>
  <si>
    <t>Advance to Engr.Abu Taher For Cement,Nut Bolt &amp; Others Material For Tripod At Rampal Project.(DBBL A/C)Via Prince.</t>
  </si>
  <si>
    <t>29.10.2018</t>
  </si>
  <si>
    <t>A.H Cargo Service(Low Bed Rent)</t>
  </si>
  <si>
    <t xml:space="preserve"> Fan Purchase</t>
  </si>
  <si>
    <t>30.10.2018</t>
  </si>
  <si>
    <t>Ikhtear Sir(150000)</t>
  </si>
  <si>
    <t>Conveyance Bill(Nizam,Islam,Joy,Belal,Borhan,Saber)For Bhanga Project Purpose.</t>
  </si>
  <si>
    <t>31.10.2018</t>
  </si>
  <si>
    <t>Online Charge For Sending Money of Hridoy Advance At Rampal Project</t>
  </si>
  <si>
    <t>01.11.2018</t>
  </si>
  <si>
    <t>Advance to Aroj Ali &amp; Co. For 1000 LitreX65 Diesel Purpose At Rampal Project.By Trust Bank A/C.</t>
  </si>
  <si>
    <t>Conveyance to Imran For Sending Money Of Aroj Ali &amp; Co.(Office to Trust Bank &amp; Trust to Office) At Rampal Project.</t>
  </si>
  <si>
    <t>Photo For Afzal Sir &amp; Ikhtear Sir For License Purpose</t>
  </si>
  <si>
    <t>Advance to Faisal Akhand Prince For Visiting Rampal Project &amp; Submit Bill to Power Mech Project Limited.</t>
  </si>
  <si>
    <t>04.11.2018</t>
  </si>
  <si>
    <t>Advance Salary to Azizul Haq.For his Father illness</t>
  </si>
  <si>
    <t>Mobile Bill(Afzal Sir)(November-2018)Official Purpose</t>
  </si>
  <si>
    <t>Received From Power Mech Projects Limited.(CA-0879276)</t>
  </si>
  <si>
    <t>PMPL</t>
  </si>
  <si>
    <t>Mud Pump Purchaes(1X25000)For Rampal Project</t>
  </si>
  <si>
    <t>Compound Oil(17.2X350)For Rampal Project.</t>
  </si>
  <si>
    <t>05.11.2018</t>
  </si>
  <si>
    <t>Cash Withdraw From MBL(CA-4435204)</t>
  </si>
  <si>
    <t>Management Cost(October-2018)Payment to KPL Construction &amp; Developers Limited</t>
  </si>
  <si>
    <t>Advance to Tarif Engineering Services For Piling Casting At Rampal Project(By Cash)</t>
  </si>
  <si>
    <t>Payment to Ripon Kumar Prodhan For Inspection Purpose At Rampal Project.</t>
  </si>
  <si>
    <t>Spring Scale For Rampal Project.</t>
  </si>
  <si>
    <t>Labour Charge For Mud Pump,Oil,Light &amp; Scale Carrying Purpose.</t>
  </si>
  <si>
    <t>Halide Light(4X3000)For Rampal Project.</t>
  </si>
  <si>
    <t>Payment to Shaon Engineering for Bucket,Teeth,Holder &amp; Lock Pin.(By DBBL A/C) Via Jalal Engineering A/C</t>
  </si>
  <si>
    <t>Advance to Monowar For Fabrication works At Rampal Project.By DBBL Via Sharmin Aktar Runa A/C.</t>
  </si>
  <si>
    <t>Advance to Sea Link International For (2000 LitreX66) Diesel Purpose At Rampal Project.(By IBBL A/C)</t>
  </si>
  <si>
    <t>Kamal Uddin Iron</t>
  </si>
  <si>
    <t>Advance to Kamal Uddin Iron Store For Rig Machine Sling Wire(Rope)At Rampal Project(Pobali Bank A/C)</t>
  </si>
  <si>
    <t>Inspection Cost</t>
  </si>
  <si>
    <t>06.11.2018</t>
  </si>
  <si>
    <t>Conveyance to Sumon Sir(Office to Nawabpur to Office)For Purchasing Light,Mud Pump,Scale &amp; Compound Oil.(04.11.2018)</t>
  </si>
  <si>
    <t>Payment to Amir Hossain(A.H Cargo Service)For Crane Rent Purpose.(By Cash Cheque)4435205</t>
  </si>
  <si>
    <t>Advance to Sahin For Hose Pipe &amp; Halide Light At Rampal Project.(By DBBL Saber A/C)Via Saber</t>
  </si>
  <si>
    <t>Sahin</t>
  </si>
  <si>
    <t>07.11.2018</t>
  </si>
  <si>
    <t>Advance to Sahin For House Rent(Nov-2018),Advance Salary &amp; Site Expense At Rampal Project.(By DBBL Saber A/C)Via Saber</t>
  </si>
  <si>
    <t>Conveyance to Hridoy For Sending Money Of Aroj Ali &amp; Co.(Office to Trust Bank &amp; Trust to Office) At Rampal Project.</t>
  </si>
  <si>
    <t>Adjustment(Afzal Sir Loan Amount)Payment to Mahfuja Traders For Polymer(152500+345000)</t>
  </si>
  <si>
    <t>Received From CCECC For Retention Money Purpose.</t>
  </si>
  <si>
    <t>08.11.2018</t>
  </si>
  <si>
    <t>Cash Withdraw From MBL(CA-4435206)</t>
  </si>
  <si>
    <t>Advance to Aroj Ali &amp; Co. For 1600 LitreX65 Diesel Purpose At Rampal Project.By Trust Bank A/C.</t>
  </si>
  <si>
    <t>Conveyance to Imran For Cash Withdraw From MBL(Office to MBL &amp; MBL to Office)Office.</t>
  </si>
  <si>
    <t>Advance to Bappy For Salary Purpose.</t>
  </si>
  <si>
    <t>Online Charge For Sending Money of Sahin Advance At Rampal Project</t>
  </si>
  <si>
    <t>Cash Withdraw From MBL(CA-4435206)For Suppliers Payment,Petty cash &amp; Site Expense At Rampal Project.</t>
  </si>
  <si>
    <t>Adjustment Against Advance Amount Of Bappy(Bill Amount-16270 Less Advance Amount-Tk.15500)Due Amount=770 Is Paid</t>
  </si>
  <si>
    <t>Adjustment Against Advance Amount Of Prince (Bill Amount-565011 Less Advance Amount-558000)=Due Amount-7011 is Paid.</t>
  </si>
  <si>
    <t>Loan &amp; Advance:</t>
  </si>
  <si>
    <t>Sams Saber</t>
  </si>
  <si>
    <t>Engr.Abu Taher (Tk.30000+Tk.25000)</t>
  </si>
  <si>
    <t>Sams Saber Tk.2300</t>
  </si>
  <si>
    <t>Labour Cost Of Bending Machine of Tk.2000(4 Persons)</t>
  </si>
  <si>
    <t>Maintenance Expense(Nail Cutter,Tooth Brush,Soap,Sampo,Gamcha,Surf Excel,Pant &amp; Others)</t>
  </si>
  <si>
    <t>Mobile Internet Tk.105</t>
  </si>
  <si>
    <t>Coveyance Expense(18 Days)</t>
  </si>
  <si>
    <t>Safety Equipment(Safety Shoes-Tk.8100,SunGlass Tk.1250 ,Helmet-Tk.600)=Tk.9950.</t>
  </si>
  <si>
    <t>Flood Light &amp; Sirkit Breker(Asset)</t>
  </si>
  <si>
    <t>Mobile Bill(Tk.200 &amp; Tk.300)(01.09.2018 &amp; 07.09.2018)=Tk.500.</t>
  </si>
  <si>
    <t>Fixed Assets(Rod Bending Machine Tk.145000,Drill Machine-Tk.9000,Flood Light &amp; Sirkit Breker-Tk.60150,Motor Bike-Tk.2580 &amp; Electric Cable-35848)=Tk.252578</t>
  </si>
  <si>
    <t>Maintenance Expense(Nail Cutter,Tooth Brush,Soap,Sampo,Gamcha,Surf Excel,Pant &amp; Others)=Tk.1185</t>
  </si>
  <si>
    <t>Coveyance Expense(18 Days)=Tk.1825</t>
  </si>
  <si>
    <t>Transport Cost(polymer-Tk.12000)=Tk.12000</t>
  </si>
  <si>
    <t>Printing &amp; Stationary(Bike Registration Photocopy-Tk.50,Sill &amp; Pad-Tk.290 &amp; Photocopy For Pic-Up-Tk.50)=Tk.390</t>
  </si>
  <si>
    <t>Fuel Expense(Octane 11.23LitreX89)=Tk.1000</t>
  </si>
  <si>
    <t>Entertainment Expense(Breakfast,Lunch &amp; Dinner with Monju,Sahin,Taher,Himel, Rubel,Excavator &amp; Dumps Operator)At Rampal Project.(17Days)=Tk.7738</t>
  </si>
  <si>
    <t>Motor Bike-Tk.155100</t>
  </si>
  <si>
    <t>Dr.187 &amp; Jv.128</t>
  </si>
  <si>
    <t>Jv.127</t>
  </si>
  <si>
    <t>Voucher No: 127</t>
  </si>
  <si>
    <t>Loan &amp; Advance(A.H Autos)</t>
  </si>
  <si>
    <t>Entertainment Expense(Breakfast,Lunch &amp; Dinner With Nizam,Bappy,Taher &amp; Saber)(18 Days)At Rampal Project.=Tk.9800</t>
  </si>
  <si>
    <t>Entertainment Expense(Breakfast,Lunch &amp; Dinner)</t>
  </si>
  <si>
    <t>Fixed Assets(Rod Bending Machine,Drill Machine,Flood Light &amp; Sirkit Breker,Motor Bike &amp; Electric Cable</t>
  </si>
  <si>
    <t>Labour Cost Of Bending Machine(4 Persons)</t>
  </si>
  <si>
    <t>Transport Cost(Bending Machine-Tk.12000,Flood Light &amp; Sirkit Breker-Tk.1500=Tk.13500.</t>
  </si>
  <si>
    <t>Transport Cost(Bending Machin,Flood Light &amp; Sirkit Breker.)</t>
  </si>
  <si>
    <t>Site Raw Expense(Wire Lux,G.I Wire,Weilding Rod &amp; Polymer)</t>
  </si>
  <si>
    <t>Mobile Internet</t>
  </si>
  <si>
    <t>Safety Equipment(Safety Shoes,SunGlass,Helmet)</t>
  </si>
  <si>
    <t>Transport Cost(polymer)</t>
  </si>
  <si>
    <t>Labour Cost (Polymer &amp; Weilding Rod)</t>
  </si>
  <si>
    <t>Loan &amp; Advance(Faisal Akhand Prince)</t>
  </si>
  <si>
    <t>Voucher No: 128</t>
  </si>
  <si>
    <t>Dr.188</t>
  </si>
  <si>
    <t>Loan &amp; Advance(Hridoy)</t>
  </si>
  <si>
    <t>Jv.129</t>
  </si>
  <si>
    <t>Voucher No: 129</t>
  </si>
  <si>
    <t>Dr.189</t>
  </si>
  <si>
    <t>Dr.190</t>
  </si>
  <si>
    <t>Dr.191</t>
  </si>
  <si>
    <t>Dr.192</t>
  </si>
  <si>
    <t>Advance to Engr.Abu Taher for Raincote Purpose At Rampal Project.By Bkash Via Himel</t>
  </si>
  <si>
    <t>Dr.193</t>
  </si>
  <si>
    <t>Dr.194</t>
  </si>
  <si>
    <t>Dr.195</t>
  </si>
  <si>
    <t>Dr.196</t>
  </si>
  <si>
    <t>Dr.197</t>
  </si>
  <si>
    <t>Dr.198</t>
  </si>
  <si>
    <t>Dr.199</t>
  </si>
  <si>
    <t>Dr.200</t>
  </si>
  <si>
    <t>Refund Loan Amount From A One Construction &amp; Logistic(Remaining Balance Tk.1000000 Less Refund Amound Tk.200000)=Tk.800000.</t>
  </si>
  <si>
    <t>Cr.32</t>
  </si>
  <si>
    <t>Dr.201</t>
  </si>
  <si>
    <t>Dr.202</t>
  </si>
  <si>
    <t>Dr.203</t>
  </si>
  <si>
    <t>Dr.204</t>
  </si>
  <si>
    <t>Cr.33</t>
  </si>
  <si>
    <t>Dr.205</t>
  </si>
  <si>
    <t>Dr.206</t>
  </si>
  <si>
    <t>Ali Ahamed Himel</t>
  </si>
  <si>
    <t>Jv.130</t>
  </si>
  <si>
    <t>Voucher No: 130</t>
  </si>
  <si>
    <t>Dr.207</t>
  </si>
  <si>
    <t>Dr.208</t>
  </si>
  <si>
    <t>Dr.209</t>
  </si>
  <si>
    <t>Cr.34</t>
  </si>
  <si>
    <t>Dr.210</t>
  </si>
  <si>
    <t>Dr.211</t>
  </si>
  <si>
    <t>Payment to Shaon Engineering for Cutting Plat,Teeth,Holder.By DBBL Account of Jalal Engineering.By DBBL A/C.</t>
  </si>
  <si>
    <t>Dr.212</t>
  </si>
  <si>
    <t>11.11.2018</t>
  </si>
  <si>
    <t>Advance to Sahin For Labour Shed Rent Purpose(Oct-2018) At Rampal Project.(By DBBL Abu Taher A/C)Via Abu Taher</t>
  </si>
  <si>
    <t>Advance to Sahin For Mud Pump Repair,Pic-Up Rent &amp; Petty Cash Purpose At Rampal Project.(By Uttara Bank A/C)Via Himel</t>
  </si>
  <si>
    <t>12.11.2018</t>
  </si>
  <si>
    <t>Conveyance to Rana For Sending Money Of Sahin Advance (Office to Uttara Bank &amp; Uttara Bank to Office) At Rampal Project.2 Times</t>
  </si>
  <si>
    <t>Adjustment Against Abu Taher Advance(Payment to Hridoy For Site Expense At Paramount)Tk.65000</t>
  </si>
  <si>
    <t>Dr.213</t>
  </si>
  <si>
    <t>Dr.214</t>
  </si>
  <si>
    <t>Dr.215</t>
  </si>
  <si>
    <t>Dr.216</t>
  </si>
  <si>
    <t>Dr.217</t>
  </si>
  <si>
    <t>Dr.218</t>
  </si>
  <si>
    <t>Dr.219</t>
  </si>
  <si>
    <t>Dr.220</t>
  </si>
  <si>
    <t>Dr.221</t>
  </si>
  <si>
    <t>Dr.222</t>
  </si>
  <si>
    <t>Cr.35</t>
  </si>
  <si>
    <t>Dr.223</t>
  </si>
  <si>
    <t>Dr.224</t>
  </si>
  <si>
    <t>Advance salary to Engr.Abu Taher By DBBL A/C</t>
  </si>
  <si>
    <t>Dr.225</t>
  </si>
  <si>
    <t>Dr.226</t>
  </si>
  <si>
    <t>Dr.227</t>
  </si>
  <si>
    <t>Dr.228</t>
  </si>
  <si>
    <t>Dr.229</t>
  </si>
  <si>
    <t>Dr.230</t>
  </si>
  <si>
    <t>Cr.36</t>
  </si>
  <si>
    <t>Cr.37</t>
  </si>
  <si>
    <t>Dr.231</t>
  </si>
  <si>
    <t>Dr.232</t>
  </si>
  <si>
    <t>Dr.233</t>
  </si>
  <si>
    <t>Dr.234</t>
  </si>
  <si>
    <t>Advance to Sea Link International For (2000 LitreX66) Diesel At Rampal Project.(By IBBL A/C)</t>
  </si>
  <si>
    <t>Dr.235</t>
  </si>
  <si>
    <t>Advance to Ekota Enterprise For 8" Treeme Pipe At Rampal Project(By Brac Bank A/C)</t>
  </si>
  <si>
    <t>Dr.236</t>
  </si>
  <si>
    <t xml:space="preserve">Voucher No: 131  </t>
  </si>
  <si>
    <t>Dr.237 &amp; Jv.131</t>
  </si>
  <si>
    <t>Dr.238</t>
  </si>
  <si>
    <t>Cr.38</t>
  </si>
  <si>
    <t>Loan Received From Kibria Sir For Salary(sep-2018) &amp; Site Expense At Rampal Project.</t>
  </si>
  <si>
    <t>Dr.239</t>
  </si>
  <si>
    <t>Dr.240</t>
  </si>
  <si>
    <t>Dr.241</t>
  </si>
  <si>
    <t>Dr.242</t>
  </si>
  <si>
    <t>Engr.Abu Taher Tk.15000</t>
  </si>
  <si>
    <t>Sams Saber Tk.5000</t>
  </si>
  <si>
    <t>Sahin Tk.4000</t>
  </si>
  <si>
    <t>Abu Bakor Tk.500</t>
  </si>
  <si>
    <t>Jv.132</t>
  </si>
  <si>
    <t>Voucher No:132</t>
  </si>
  <si>
    <t>Salary Expese:</t>
  </si>
  <si>
    <t xml:space="preserve">Engr.Abu Taher </t>
  </si>
  <si>
    <t xml:space="preserve">Sams Saber </t>
  </si>
  <si>
    <t xml:space="preserve">Sahin </t>
  </si>
  <si>
    <t xml:space="preserve">Abu Bakor </t>
  </si>
  <si>
    <t>Dr.243</t>
  </si>
  <si>
    <t>Dr.244</t>
  </si>
  <si>
    <t>Dr.245</t>
  </si>
  <si>
    <t>Dr.246</t>
  </si>
  <si>
    <t>Advance to Monowar For Fabrication works At Rampal Project.By DBBL Via Sharmin Aktar Runa A/C</t>
  </si>
  <si>
    <t>Dr.247</t>
  </si>
  <si>
    <t>Dr.248</t>
  </si>
  <si>
    <t>Dr.249</t>
  </si>
  <si>
    <t>Dr.250</t>
  </si>
  <si>
    <t>Dr.251</t>
  </si>
  <si>
    <t>Dr.252</t>
  </si>
  <si>
    <t>13.11.2018</t>
  </si>
  <si>
    <t>Cash Withdraw From MBL(CA-4435207)For Suppliers Payment,Salary(Oct-2018),Petty cash &amp; Site Expense At Rampal Project.</t>
  </si>
  <si>
    <t>Cash Withdraw From MBL(CA-4435207)</t>
  </si>
  <si>
    <t>Advance to Sea Link International For Diesel Purpose At Rampal Project.(By IBBL A/C)</t>
  </si>
  <si>
    <t>Conveyance to Imran For Cash Withdraw Purpose &amp; Sending Money Of Sea Link International(Office to MBL to IBB to Office) At Rampal Project.</t>
  </si>
  <si>
    <t>14.11.2018</t>
  </si>
  <si>
    <t>Advance to Aroj Ali &amp; Co. For 400 LitreX65 Diesel Purpose At Rampal Project.By Trust Bank A/C.</t>
  </si>
  <si>
    <t>Advance to Sahin For Cutting Tors &amp; Petty Cash Purpose At Rampal Project.(By Uttara Bank A/C)Via Himel</t>
  </si>
  <si>
    <t>Conveyance to Imran For Sending money Of Aroj Ali &amp; Co(Diesel)&amp; Sahin Advance(Office to Trust Bank to Uttara Bank to Office At Rampal Project.</t>
  </si>
  <si>
    <t>Dr.253</t>
  </si>
  <si>
    <t>Dr.254</t>
  </si>
  <si>
    <t>Dr.255</t>
  </si>
  <si>
    <t>Dr.256</t>
  </si>
  <si>
    <t>Dr.257</t>
  </si>
  <si>
    <t>Dr.258</t>
  </si>
  <si>
    <t>Dr.259</t>
  </si>
  <si>
    <t>Dr.260</t>
  </si>
  <si>
    <t>Dr.261</t>
  </si>
  <si>
    <t>Dr.262</t>
  </si>
  <si>
    <t>Cr.39</t>
  </si>
  <si>
    <t>Dr.263</t>
  </si>
  <si>
    <t>Dr.264</t>
  </si>
  <si>
    <t>Dr.265</t>
  </si>
  <si>
    <t>Jv.133</t>
  </si>
  <si>
    <t>Cr.40 &amp; Jv.134</t>
  </si>
  <si>
    <t>Dr.266</t>
  </si>
  <si>
    <t>Dr.267</t>
  </si>
  <si>
    <t>Dr.268</t>
  </si>
  <si>
    <t>Dr.269</t>
  </si>
  <si>
    <t>Dr.270</t>
  </si>
  <si>
    <t>Dr.271</t>
  </si>
  <si>
    <t>Advance to Himel For Mud Pump Repair &amp; Other Expenditure At Rampal Project.By Uttara Bank A/C</t>
  </si>
  <si>
    <t>Advance to Abu Taher For Mud Pump Repair,Motor Repair,Hydrolic Oil 40 Litre,Grease 10 KG At Rampal Project.By DBBL Saber A/C</t>
  </si>
  <si>
    <t>Adjustment Abu Taher Advance Amount(Payment to Himel For Site Expense At Paramount)Himel-50000</t>
  </si>
  <si>
    <t>Loan &amp; Advance(Ali Ahmed Himel)</t>
  </si>
  <si>
    <t>15.11.2018</t>
  </si>
  <si>
    <t>Salary Expense(October-2018)(18 Employees)</t>
  </si>
  <si>
    <t>Cash Withdraw From MBL(CA-4435208)For Suppliers Payment,Petty cash &amp; Site Expense At Rampal Project.</t>
  </si>
  <si>
    <t>Cash Withdraw From MBL(CA-4435208)</t>
  </si>
  <si>
    <t>Measuring Equipment</t>
  </si>
  <si>
    <t>March Funnel(1X16500),Pocket Type HP Meter(1X1500),Hydrometer(500 &amp; 200)</t>
  </si>
  <si>
    <t>Payment to Prince For Octane(5.6X89)Litre Purpose(Office to Tongi to Office to Hatkhola to Golistan to Sotrapur to Office)</t>
  </si>
  <si>
    <t>Online Charge For Sending Salary Of Employees</t>
  </si>
  <si>
    <t>Conveyance to Imran Hassan For Cash Withdraw from MBL(Office to MBL to Office)By Rickshaw</t>
  </si>
  <si>
    <t>Conveyance to Liton For Sending Money Of Kamal Uddin Iron Store For Rig Machine Rope  Purpose.</t>
  </si>
  <si>
    <t>Conveyance to Rana For Sending Salary of Employees(Office to Uttara Bank to Office)</t>
  </si>
  <si>
    <t>Conveyance to Liton For Sending Money of Sea Link International for Diesel Purpose(Office to IBBL to Office)</t>
  </si>
  <si>
    <t>18.11.2018</t>
  </si>
  <si>
    <t>Advance to Sea Link International For (4000X65.6)Litre Diesel Purpose At Rampal Project.(By IBBL A/C)</t>
  </si>
  <si>
    <t>19.11.2018</t>
  </si>
  <si>
    <t>Cash Withdraw From MBL(CA-4435209)</t>
  </si>
  <si>
    <t>Advance to Ekota Enterprise For 8" Treeme Pipe At Rampal Project(Brac Bank A/C Tk.100000 &amp; Cash By Prince Tk.50000)</t>
  </si>
  <si>
    <t>Advance to Ekota Enterprise For 8" Treeme Pipe At Rampal Project(By Cash Via Prince)</t>
  </si>
  <si>
    <t>Ekota Enterprise For Making Charge of Tripod(By Cash Via Prince)</t>
  </si>
  <si>
    <t>Fleet Guard Filter Purchase(1X900)For Rampal Project.</t>
  </si>
  <si>
    <t>Mobile Bill to Ikhtear Sir For The Month Of August to November-2018 Official Purpose</t>
  </si>
  <si>
    <t>Fleet Guard Filter Purchase(1X2200) &amp; (1X1900)For Rampal Project.</t>
  </si>
  <si>
    <t>Conveyance to Imran Hassan For Sending Money of Sea Link International for Diesel Purpose(Office to IBBL to Office)By Rickshaw</t>
  </si>
  <si>
    <t>Conveyance to Rana For Sending Money of Sahin Advance(Office to Uttara Bank to Office)By Rickshaw</t>
  </si>
  <si>
    <t>20.11.2018</t>
  </si>
  <si>
    <t>Advance to Sahin For G.I Wire &amp; Petty Cash Purpose At Rampal Project.(By Uttara Bank A/C)Via Hridoy</t>
  </si>
  <si>
    <t>Dr.272</t>
  </si>
  <si>
    <t>Dr.273</t>
  </si>
  <si>
    <t>Dr.274</t>
  </si>
  <si>
    <t>Dr.275</t>
  </si>
  <si>
    <t>Dr.276</t>
  </si>
  <si>
    <t>Dr.277</t>
  </si>
  <si>
    <t>Dr.278</t>
  </si>
  <si>
    <t>Dr.279</t>
  </si>
  <si>
    <t>Dr.280</t>
  </si>
  <si>
    <t>Dr.281</t>
  </si>
  <si>
    <t>Dr.282</t>
  </si>
  <si>
    <t>Dr.283</t>
  </si>
  <si>
    <t>Dr.284</t>
  </si>
  <si>
    <t>Dr.285</t>
  </si>
  <si>
    <t>Dr.286</t>
  </si>
  <si>
    <t>Dr.287</t>
  </si>
  <si>
    <t>Advance to Himel For Site Expense At Rampal Project.By Cash</t>
  </si>
  <si>
    <t>Cr.41</t>
  </si>
  <si>
    <t>Dr.288</t>
  </si>
  <si>
    <t>Dr.289</t>
  </si>
  <si>
    <t>Dr.290</t>
  </si>
  <si>
    <t>Dr.291</t>
  </si>
  <si>
    <t>Dr.292</t>
  </si>
  <si>
    <t>Dr.293</t>
  </si>
  <si>
    <t>Dr.294</t>
  </si>
  <si>
    <t>Dr.295</t>
  </si>
  <si>
    <t>Dr.296</t>
  </si>
  <si>
    <t>Dr.297</t>
  </si>
  <si>
    <t>Dr.298</t>
  </si>
  <si>
    <t>Dr.299</t>
  </si>
  <si>
    <t>Dr.300</t>
  </si>
  <si>
    <t>Dr.301</t>
  </si>
  <si>
    <t>Licence Fee</t>
  </si>
  <si>
    <t>Renewal Fee of Trade Licence For The Year 2018 to 2019.</t>
  </si>
  <si>
    <t>Tips For Renewal Fee of Trade Licence For The Year 2018 to 2019</t>
  </si>
  <si>
    <t>Misc. Expense</t>
  </si>
  <si>
    <t>Dr.302</t>
  </si>
  <si>
    <t>Dr.303</t>
  </si>
  <si>
    <t>Cr.43</t>
  </si>
  <si>
    <t>Dr.304</t>
  </si>
  <si>
    <t>Dr.305</t>
  </si>
  <si>
    <t>Dr.306</t>
  </si>
  <si>
    <t>Dr.307</t>
  </si>
  <si>
    <t>Dr.308</t>
  </si>
  <si>
    <t>Dr.309</t>
  </si>
  <si>
    <t>Dr.310</t>
  </si>
  <si>
    <t>Dr.311</t>
  </si>
  <si>
    <t>Dr.312</t>
  </si>
  <si>
    <t>Dr.313</t>
  </si>
  <si>
    <t>Dr.314</t>
  </si>
  <si>
    <t>Dr.315</t>
  </si>
  <si>
    <t>Dr.316</t>
  </si>
  <si>
    <t>Dr.317</t>
  </si>
  <si>
    <t>Dr.318</t>
  </si>
  <si>
    <t>Cr.44</t>
  </si>
  <si>
    <t>Dr.319</t>
  </si>
  <si>
    <t>Dr.320</t>
  </si>
  <si>
    <t>Dr.321</t>
  </si>
  <si>
    <t>Dr.322</t>
  </si>
  <si>
    <t>Dr.323</t>
  </si>
  <si>
    <t>Dr.324</t>
  </si>
  <si>
    <t>Dr.325</t>
  </si>
  <si>
    <t>Cr.45</t>
  </si>
  <si>
    <t>Dr.326</t>
  </si>
  <si>
    <t>Dr.327</t>
  </si>
  <si>
    <t>Dr.328</t>
  </si>
  <si>
    <t>Dr.329</t>
  </si>
  <si>
    <t>Dr.330</t>
  </si>
  <si>
    <t>Dr.331</t>
  </si>
  <si>
    <t>Dr.332</t>
  </si>
  <si>
    <t>Dr.333</t>
  </si>
  <si>
    <t>Dr.334</t>
  </si>
  <si>
    <t>Dr.335</t>
  </si>
  <si>
    <t>Dr.336</t>
  </si>
  <si>
    <t>Dr.337</t>
  </si>
  <si>
    <t>Dr.338</t>
  </si>
  <si>
    <t>Dr.339</t>
  </si>
  <si>
    <t>Dr.340</t>
  </si>
  <si>
    <t>Cr.46</t>
  </si>
  <si>
    <t>Dr.341</t>
  </si>
  <si>
    <t>Dr.342</t>
  </si>
  <si>
    <t>Dr.343</t>
  </si>
  <si>
    <t>Dr.344</t>
  </si>
  <si>
    <t>Dr.345</t>
  </si>
  <si>
    <t>Payment to Anowera Trading Co.For Mud Balance Purchase (1X35000)</t>
  </si>
  <si>
    <t>22.11.2018</t>
  </si>
  <si>
    <t>Enamul(Rope)</t>
  </si>
  <si>
    <t>Payment to Enamul Haq For Rig Machine Sling(Rope)For Rampal Project.(By Pubali Bank A/C).</t>
  </si>
  <si>
    <t>Payment to Shahin Trading Corporation For Safety Shoes(25X850)For Rampal Project.(Rupali Bank A/C).</t>
  </si>
  <si>
    <t>Bkash Charge For Sending Conveyance Bill Of Shah-Alam At CTG</t>
  </si>
  <si>
    <t>Conveyance to Shah-Alam For Searching Machineries At CTG For Official Purpose.(By Bkash)</t>
  </si>
  <si>
    <t>Bkash Charge For Sending Money of Hridoy Advance For Halide &amp; Blub At Rampal Project.</t>
  </si>
  <si>
    <t>24.11.2018</t>
  </si>
  <si>
    <t>Eva nova Gas(Rod Cutter,Welding Machine,Cable)</t>
  </si>
  <si>
    <t>Welding Machine</t>
  </si>
  <si>
    <t>Welding Rod</t>
  </si>
  <si>
    <t>Site Raw Expense(Wire Lux-Tk.1368,G.I Wire-18800,Welding Rod-Tk.77100 &amp; Polymer-Tk.105000)=Tk.202268</t>
  </si>
  <si>
    <t>Labour Cost Of Polymer &amp; Welding Rod Carrying Purpose.=Tk.600</t>
  </si>
  <si>
    <t>Advance to Hridoy For Welding Cable,Hose Pipe &amp; House Rent At Rampal Project.(By Uttara Bank A/C)</t>
  </si>
  <si>
    <t>Male-Female(Welding &amp; Cable Line)Bucket,Nut Bolt,Grease Nipple,Cement,,Brush,G.I Rope,Poly Roll,Gas Burner,Cutter Disk,Savol,Wood,R.F.L Table,Umbrella,Safety Show &amp; Gloves-2170)=Tk.81962</t>
  </si>
  <si>
    <t>Advance to Hridoy For G.I Wire,Plain Sheet,Wood,Welding Rod,Grease &amp; Others At Rampal Project.(By Uttara Bank &amp; Trust Bank A/C)</t>
  </si>
  <si>
    <t>Advance to Hridoy For Welding Rod &amp; Mud Pump Purchase At Rampal Project.(By DBBL Saber A/C)</t>
  </si>
  <si>
    <t>Advance to Hridoy For Welding Rod &amp; Pump At Rampal Project.(By Uttara Bank A/C)</t>
  </si>
  <si>
    <t>Advance to Sahin For Fooding Of Crane,Vibro Hemmer,Excavator Operator(Oct-18)Welding Rod &amp; Petty Cash Purpose At Rampal Project.(By Uttara Bank A/C)Via Hridoy</t>
  </si>
  <si>
    <t>Payment to Bikrumpur Machine Ghar For Welding Machine Purchase (1X27500)(Cash &amp; IBBL A/C).</t>
  </si>
  <si>
    <t>Advance to Sahin For Welding Rod,Blanket,Mosquito Net &amp; Petty Cash Purpose At Rampal Project.(By Uttara Bank A/C)Via Hridoy</t>
  </si>
  <si>
    <t>Conveyance to Imran Hassan For Purchasing Safety Shoes,Welding Machine &amp; Advace money Of Sahin Purpose(Office to Rupali Bank to Uttara Bank to Office)By Rickshaw.</t>
  </si>
  <si>
    <t>Safety Equipment(Shoes,Helmet,Gambot,Clam &amp; Lavel)Tk.66835</t>
  </si>
  <si>
    <t>Advance to Hridoy For Halide Set(5X3000) &amp; Bulb(12X400) At Rampal Project.(By Bkash))</t>
  </si>
  <si>
    <t>Advance to Hridoy For 4" Clam(300X14)At Rampal Project.(By Bkash)</t>
  </si>
  <si>
    <t>Bkash Charge For Sending Money of Hridoy Advance For 4" Clam At Rampal Project.</t>
  </si>
  <si>
    <t>Octane Bill to Prince For Safety Shoes &amp; Welding Machine Purchasing Purpose.(Office to Nawabpur to Goran to Nawabpur to Office)(21.11.2018 to 22.11.2018)(3.37 LitreX89)</t>
  </si>
  <si>
    <t>Octane Bill to Prince For Mobil Filter, Bending Machine Purchasing &amp; 28mm Rope, Compressor Machine,Mud Balance,Costic Soda Searching Purpose.(Office to Shotrapur to Nawabpur to Hatkhola to Midfood to Goran)(18.11.2018 to 20.11.2018)(5.61 LitreX89)</t>
  </si>
  <si>
    <t>Adjustment Against Advance Amount Of Prince(Advance Amount-3000 Less Bill Amount-2596)=Balance Amount- 404 is Refund</t>
  </si>
  <si>
    <t>Mobile Bill=Tk.100</t>
  </si>
  <si>
    <t>Printing &amp; Stationery=Tk.280</t>
  </si>
  <si>
    <t>Conveyance Expense=Tk.1216 (5 Days)</t>
  </si>
  <si>
    <t>Entertainment Expense=Tk.1000 (5 Days)</t>
  </si>
  <si>
    <t>Cr.42 &amp; Jv.135</t>
  </si>
  <si>
    <t>Voucher No:</t>
  </si>
  <si>
    <t xml:space="preserve">Cash </t>
  </si>
  <si>
    <t>Loan &amp; Advance Account(Prince)</t>
  </si>
  <si>
    <t>Adjustment Of  Abu Taher (Advance to Faisal Akhand Prince Tk.25000 on 04.10.2018)</t>
  </si>
  <si>
    <t>Advance to Faisal Akhand Prince=Tk.25000</t>
  </si>
  <si>
    <t>Conveyance Expense(Saber,Hridoy,Foreman,Sayem)At Rampal Project(28 Days)=Tk.3229</t>
  </si>
  <si>
    <t>Carrying Cost(Trimee Pipe)=Tk.20000</t>
  </si>
  <si>
    <t>Misce.Expense(Police Tips)=Tk.500</t>
  </si>
  <si>
    <t>Repair &amp; Maintenance(Motor Bike Chain)=Tk.20</t>
  </si>
  <si>
    <t>Mobile Bill(28 Days)=Tk.400</t>
  </si>
  <si>
    <t>Maintenance Expense(Metress,Pillow,Bed Sheet,Blanket &amp; Others)=Tk.1516</t>
  </si>
  <si>
    <t>Fuel Expenses(Petrol-11.63X86 &amp; Octane-3.38X89)=Tk.1300</t>
  </si>
  <si>
    <t>Printing &amp; Stationery(Photocopy)=Tk.294</t>
  </si>
  <si>
    <t>Fixed Assets(Fan-1530,Combination Set &amp; Handle-5705)=Tk.7235</t>
  </si>
  <si>
    <t>Site Raw Expense(Mobil Filter,Cement,Belt,Bearing,Nozel,Lp Gas &amp; Pipe)=Tk.26390</t>
  </si>
  <si>
    <t>Entertainment Expense(Tripod of Foremen,Hridoy,Saber,Driver of Trimee Pipe &amp; Helper,Anowar Workshops Owner)At Rampal Project.(28Days)=Tk.6646</t>
  </si>
  <si>
    <t>Combination Set &amp; Handle</t>
  </si>
  <si>
    <t>Advance to Akota Enterprise For Trimee Pipe Purpose=Tk.75000(27.09.2018)</t>
  </si>
  <si>
    <t>25.11.2018</t>
  </si>
  <si>
    <t>Payment to Sundarban Courier Service For Ramapl Project</t>
  </si>
  <si>
    <t>Courier Charge</t>
  </si>
  <si>
    <t>26.11.2018</t>
  </si>
  <si>
    <t>Cash Withdraw From MBL(CA-4435210)</t>
  </si>
  <si>
    <t>Advance to Sahin For Electric Cable &amp; Petty Cash Purpose At Rampal Project.(By Uttara Bank)Via Hridoy</t>
  </si>
  <si>
    <t>Advance to Sahin For Pic Up Rent,Bottom Plate &amp; Petty Cash Purpose At Rampal Project.(By Uttara Bank &amp; DBBL A/C)Via Hridoy &amp; Sams Saber</t>
  </si>
  <si>
    <t>Acitiline Nozel Purchase(11X280)For Rampal Project.</t>
  </si>
  <si>
    <t>Adjustment Against Advance Amount Of Prince(Advance Amount-145000 Less Bill Amount-142530)=Balance Amount- 2470 is Refund.</t>
  </si>
  <si>
    <t>27.11.2018</t>
  </si>
  <si>
    <t>Mobile Bill to Engr.Abu Taher For The Month Of October &amp; November-2018 Official Purpose</t>
  </si>
  <si>
    <t>Conveyance to Liton For Sending Money of Enamul Haq For Rig Machine Sling(rope)(Office to Pubali Bank to Office)By Tampo</t>
  </si>
  <si>
    <t>28.11.2018</t>
  </si>
  <si>
    <t>Conveyance to Faisal Akhan Prince For Shipment Of Sample Polymer At Rampal Project.</t>
  </si>
  <si>
    <t>Bkash Charge For Sending Money of Sahin Advance At Rampal Project.</t>
  </si>
  <si>
    <t>Advance to Sahin For Bucket Shaft,Bucket Spring &amp; Welding Rod Purpose At Rampal Project.(By Uttara Bank &amp; Bkash)Via Hridoy</t>
  </si>
  <si>
    <t>Dr.346</t>
  </si>
  <si>
    <t>Dr.347</t>
  </si>
  <si>
    <t>Dr.348</t>
  </si>
  <si>
    <t>Dr.349</t>
  </si>
  <si>
    <t>Dr.350</t>
  </si>
  <si>
    <t>Dr.351</t>
  </si>
  <si>
    <t>Dr.352</t>
  </si>
  <si>
    <t>Dr.353</t>
  </si>
  <si>
    <t>Dr.354</t>
  </si>
  <si>
    <t>Dr.355</t>
  </si>
  <si>
    <t>Dr.356</t>
  </si>
  <si>
    <t>Dr.357</t>
  </si>
  <si>
    <t>Dr.358</t>
  </si>
  <si>
    <t>Dr.359</t>
  </si>
  <si>
    <t>Dr.360</t>
  </si>
  <si>
    <t>Dr.361</t>
  </si>
  <si>
    <t>Dr.362</t>
  </si>
  <si>
    <t>Dr.363</t>
  </si>
  <si>
    <t>Dr.364</t>
  </si>
  <si>
    <t>Dr.365</t>
  </si>
  <si>
    <t>Dr.366</t>
  </si>
  <si>
    <t>Dr.367</t>
  </si>
  <si>
    <t>Cr.47</t>
  </si>
  <si>
    <t>Dr.368</t>
  </si>
  <si>
    <t>Dr.369</t>
  </si>
  <si>
    <t>Dr.370</t>
  </si>
  <si>
    <t>Dr.371</t>
  </si>
  <si>
    <t>Dr.372</t>
  </si>
  <si>
    <t>Dr.373</t>
  </si>
  <si>
    <t>Dr.374</t>
  </si>
  <si>
    <t>Dr.375</t>
  </si>
  <si>
    <t>Dr.376</t>
  </si>
  <si>
    <t>Dr.377</t>
  </si>
  <si>
    <t>Dr.378</t>
  </si>
  <si>
    <t>29.11.2018</t>
  </si>
  <si>
    <t>Received From Power Mech Projects Limited.(CA-0879313)</t>
  </si>
  <si>
    <t>Mahfuja Traders(Polymer)</t>
  </si>
  <si>
    <t>Cash Cheque to Mahfuja Traders For Polymer(4435211)</t>
  </si>
  <si>
    <t>Cash Withdraw From MBL(CA-4435212)</t>
  </si>
  <si>
    <t>Conveyance to Rana For Sending Money of Sahin Advance(Office to Uttara Bank to Office)By Rickshaw(2 Times)</t>
  </si>
  <si>
    <t>Advance to Sahin For Mobil &amp; Compressor Machine Purpose At Rampal Project.(By Uttara Bank)Via Himel</t>
  </si>
  <si>
    <t>Cr.48</t>
  </si>
  <si>
    <t>Advance to Prince For Mobil filter,Air filter &amp; Safety Equipment At Rampal Project.By Cash</t>
  </si>
  <si>
    <t>Ikhtear Sir(605940)</t>
  </si>
  <si>
    <t>01.12.2018</t>
  </si>
  <si>
    <t xml:space="preserve">Opening Balance </t>
  </si>
  <si>
    <t>02.12.2018</t>
  </si>
  <si>
    <t>Management Cost(November-2018)Payment to KPL Construction &amp; Developers Limited</t>
  </si>
  <si>
    <t>Cash Withdraw From MBL(CA-4435214)For Supplier Payment &amp; Petty Cash Purpose At Rampal Project.</t>
  </si>
  <si>
    <t>Advance to Sahin For House Rent,Cook Bill,Hydrolic Oil &amp; Pipe Purpose At Rampal Project.(By Uttara Bank)Via Hridoy &amp; Himel A/C.</t>
  </si>
  <si>
    <t>Loan Payment to Kibria Sir By A/C Payee Cheque.(CA-4435216)</t>
  </si>
  <si>
    <t>Cash Cheque to Mahfuja Traders For Polymer Purpose(CA-4435217)</t>
  </si>
  <si>
    <t>Voucher No.</t>
  </si>
  <si>
    <t>Cash Cheque to A.H Cargo Service For Crane Rent Purpose.(C.A-4435215)</t>
  </si>
  <si>
    <t>Advance Salary to Mahmudol Hasan(Joy)</t>
  </si>
  <si>
    <t>Mobile Bill(Afzal Sir)(December-2018)Official Purpose</t>
  </si>
  <si>
    <t>Mobile Bill(Ikhtear Sir)(December-2018)Official Purpose</t>
  </si>
  <si>
    <t>03.12.2018</t>
  </si>
  <si>
    <t>Loan Payment to Kibria Sir By A/C Payee Cheque.(CA-4435218)</t>
  </si>
  <si>
    <t>Mud Pump Purchase(1X24500)For Rampal Project</t>
  </si>
  <si>
    <t>Online Charge For Sending Money of Mahmudol Hasan(Joy) for Advance Salary Purpose.</t>
  </si>
  <si>
    <t>Mahmudol Hasan</t>
  </si>
  <si>
    <t>04.12.2018</t>
  </si>
  <si>
    <t>Conveyance to Imran Hassan For Sending Money of Rasel(Crane Operator) for Overtime Purpose(Office to Janata Bank to Office)By Rickshaw</t>
  </si>
  <si>
    <t>Low Bed Rent</t>
  </si>
  <si>
    <t>Online Charge For Sending Money Of Azizul Haq For Low Bed Rent Purpose At Rampal Project.</t>
  </si>
  <si>
    <t>Advance Salary to Bappy</t>
  </si>
  <si>
    <t>Payment to Apon Enterprise For Air Filter (1X1500)(1X3500)At Rampal Project.</t>
  </si>
  <si>
    <t>05.12.2018</t>
  </si>
  <si>
    <t>Cash Withdraw From MBL(CA-4435219)For Supplier Payment &amp; Petty Cash Purpose At Rampal Project.</t>
  </si>
  <si>
    <t>Advance to Sea Link International For (4000X65.5)Litre Diesel Purpose At Rampal Project.(By IBBL A/C)</t>
  </si>
  <si>
    <t>Advance to Monowar For Fabrication works At Rampal Project.By Cash Via Monowar.</t>
  </si>
  <si>
    <t>Advance to Sahin For G.I Wire &amp; Petty Cash Purpose  At Rampal Project.(By Uttara Bank)Via Hridoy &amp; Himel A/C.</t>
  </si>
  <si>
    <t>06.12.2018</t>
  </si>
  <si>
    <t>Advance to Sahin For Welding Cable,Bambo Water Pump G.I Wire &amp; Petty Cash  At Rampal Project.(By Uttara Bank)Via Hridoy &amp; Himel A/C.</t>
  </si>
  <si>
    <t>Dr.379</t>
  </si>
  <si>
    <t>Dr.380</t>
  </si>
  <si>
    <t>Dr.381</t>
  </si>
  <si>
    <t>Dr.382</t>
  </si>
  <si>
    <t>Dr.383</t>
  </si>
  <si>
    <t>Cr.49</t>
  </si>
  <si>
    <t>Dr.384</t>
  </si>
  <si>
    <t>Dr.385</t>
  </si>
  <si>
    <t>Dr.386</t>
  </si>
  <si>
    <t>Dr.387</t>
  </si>
  <si>
    <t>Dr.388</t>
  </si>
  <si>
    <t>Dr.389</t>
  </si>
  <si>
    <t>Dr.390</t>
  </si>
  <si>
    <t>Dr.391</t>
  </si>
  <si>
    <t>Dr.392</t>
  </si>
  <si>
    <t>Dr.393</t>
  </si>
  <si>
    <t>Dr.394</t>
  </si>
  <si>
    <t>Dr.395</t>
  </si>
  <si>
    <t>Dr.396</t>
  </si>
  <si>
    <t>Dr.397</t>
  </si>
  <si>
    <t>Dr.398</t>
  </si>
  <si>
    <t>Dr.399</t>
  </si>
  <si>
    <t>Dr.400</t>
  </si>
  <si>
    <t>Dr.401</t>
  </si>
  <si>
    <t>Dr.402</t>
  </si>
  <si>
    <t>Dr.403</t>
  </si>
  <si>
    <t>Dr.404</t>
  </si>
  <si>
    <t>Dr.405</t>
  </si>
  <si>
    <t>Dr.406</t>
  </si>
  <si>
    <t>Dr.407</t>
  </si>
  <si>
    <t>Payment to S.A Paribahan For Sending of Air Filter At  Ramapl Project.</t>
  </si>
  <si>
    <t>Dr.408</t>
  </si>
  <si>
    <t>Cr.50</t>
  </si>
  <si>
    <t>Dr.409</t>
  </si>
  <si>
    <t>Dr.410</t>
  </si>
  <si>
    <t>Dr.411</t>
  </si>
  <si>
    <t>Dr.412</t>
  </si>
  <si>
    <t>Dr.413</t>
  </si>
  <si>
    <t>Dr.414</t>
  </si>
  <si>
    <t>09.12.2018</t>
  </si>
  <si>
    <t>Advance to Sahin For G.I Wire &amp; Petty Cash Purpose  At Rampal Project.(By Uttara Bank)Via Hridoy A/C.</t>
  </si>
  <si>
    <t>Yard Rent(November &amp; December-2018) Juhora Motors</t>
  </si>
  <si>
    <t>Advance to Imran Traders For Water Tank Purpose At Rampal Project.By UCB Bank A/C</t>
  </si>
  <si>
    <t>Imran Traders(Water Tank)</t>
  </si>
  <si>
    <t>Online Charge For Sending Money Of Imran Traders For Water Tank Purpose.</t>
  </si>
  <si>
    <t>Conveyance to Sumon Rana For Sending Money of Sahin &amp; Mahfuja Traders Advance(Office to Uttara Bank to IBBL to Office)</t>
  </si>
  <si>
    <t>10.12.2018</t>
  </si>
  <si>
    <t>Loan Received From Ikhtear Sir For Site Expense At Rampal Project.</t>
  </si>
  <si>
    <t>Ikhtear Sir</t>
  </si>
  <si>
    <t>11.12.2018</t>
  </si>
  <si>
    <t>Cash Withdraw From MBL(CA-4435220)For Supplier Payment &amp; Petty Cash Purpose At Rampal Project.</t>
  </si>
  <si>
    <t>Payment to Apon Enterprise For Air Filter &amp; Fuel Filter At Rampal Project.</t>
  </si>
  <si>
    <t>Haq Brother(Container)</t>
  </si>
  <si>
    <t>Advance to Haq Brother For Container Purpose(By UCB A/C)</t>
  </si>
  <si>
    <t>Online Charge For Sending Money Of Haq Brother For Container.</t>
  </si>
  <si>
    <t>12.12.2018</t>
  </si>
  <si>
    <t>Loan Payment to Ikhtear Sir</t>
  </si>
  <si>
    <t>Conveyance to Sumon Sir For Purchasing Mud Pump &amp; Air Filter Purpose At Rampal Project.(Office to Nawbpur to Office)(Two Days)</t>
  </si>
  <si>
    <t>Adjustment Against Advance Amount Of Prince(Advance Amount-50000 Less Bill Amount-48893)=Balance Amount- 1107 is Refund</t>
  </si>
  <si>
    <t>13.12.2018</t>
  </si>
  <si>
    <t>Site Raw Expense(Mobil Filter &amp; Air Filter)=Tk.21550</t>
  </si>
  <si>
    <t>Safety Equipment(Shoes-tk.8900 &amp; Helmet-tk.4320)=Tk.13220</t>
  </si>
  <si>
    <t>Advance to Sahin For Site Expense At Rampal Project Via Hridoy=Tk.10000</t>
  </si>
  <si>
    <t>Printing &amp; Stationery(Color Print of 3rd Bill Of PMPL)=Tk.100</t>
  </si>
  <si>
    <t>Maintenance Expense(Pellow,Blanket &amp; Cover,Bed Sheet &amp; Metrees)=Tk.2100</t>
  </si>
  <si>
    <t>Entertainment Expense(Breakfast,Lunch &amp; Dinner For Four Days)=Tk.800</t>
  </si>
  <si>
    <t>Conveyance Expense(Bus,Micro Bus Launch &amp; Speed Boat)(01.12.2018 to 07.12.2018)=Tk.1123.</t>
  </si>
  <si>
    <t>Cash Withdraw From MBL(CA-4435221)For Supplier Payment &amp; Petty Cash Purpose At Rampal Project.</t>
  </si>
  <si>
    <t>Conveyance to Liton For Sending Money of Sea Link International for Diesel Purpose(Office to IBBL to Office)By Rickshaw</t>
  </si>
  <si>
    <t>Advance to Sahin For Labour Sheet Rent(Nov-2018),Transport Cost Of Container,G.I Wire &amp; Petty Cash At Rampal Project By Uttara Bank Via Hridoy &amp; Himel A/C</t>
  </si>
  <si>
    <t>Conveyance to Sumon Rana For Sending Money of Sahin &amp; Mahfuja Traders Advance(Office to Uttara Bank to Office)</t>
  </si>
  <si>
    <t>Online Charge For Sending Money of Mia Bazar Filling Station For Diesel Purpose At Rampal Project</t>
  </si>
  <si>
    <t>Advance to Mia Bazar Filling Station For Diesel Purpose At Rampal Project (By UCB A/C.)</t>
  </si>
  <si>
    <t>Advance to Faisal Akhand Prince For Visiting Rampal Project.</t>
  </si>
  <si>
    <t>Advance to Sahin For Due Payment of Hydrolic Pipe,Conveyance Bill of Bappy &amp; Petty Cash Purpose  At Rampal Project.(By Uttara Bank)Via Hridoy A/C.</t>
  </si>
  <si>
    <t>Octane Bill to Prince For Mobil Filter, Air Filter &amp; 28mm Rope Purchasing Purpose.(Office to Shotrapur to Nawabpur to Office)  (Two Days)(5.62LitreX89)</t>
  </si>
  <si>
    <t>Conveyance to Rana For Sending Money Of Aroj Ali &amp; Co.(Office to Trust Bank &amp; Trust to Office) At Rampal Project.</t>
  </si>
  <si>
    <t>Mia Bazar Filling Station</t>
  </si>
  <si>
    <t>Dr.415</t>
  </si>
  <si>
    <t>Dr.416</t>
  </si>
  <si>
    <t>Dr.417</t>
  </si>
  <si>
    <t>Dr.418</t>
  </si>
  <si>
    <t>Dr.419</t>
  </si>
  <si>
    <t>Dr.420</t>
  </si>
  <si>
    <t>Dr.421</t>
  </si>
  <si>
    <t>Dr.422</t>
  </si>
  <si>
    <t>Dr.423</t>
  </si>
  <si>
    <t>Cr.51</t>
  </si>
  <si>
    <t>Dr.424</t>
  </si>
  <si>
    <t>Dr.425</t>
  </si>
  <si>
    <t>Dr.426</t>
  </si>
  <si>
    <t>Cr.52</t>
  </si>
  <si>
    <t>Dr.427</t>
  </si>
  <si>
    <t>Dr.428</t>
  </si>
  <si>
    <t>Dr.429</t>
  </si>
  <si>
    <t>Dr.430</t>
  </si>
  <si>
    <t>Dr.431</t>
  </si>
  <si>
    <t>Dr.432</t>
  </si>
  <si>
    <t>Cr.53</t>
  </si>
  <si>
    <t>Dr.433</t>
  </si>
  <si>
    <t>Dr.434</t>
  </si>
  <si>
    <t>Dr.435</t>
  </si>
  <si>
    <t>Cr.54</t>
  </si>
  <si>
    <t>Cr.55</t>
  </si>
  <si>
    <t>Dr.436</t>
  </si>
  <si>
    <t>Dr.437</t>
  </si>
  <si>
    <t>Dr.438</t>
  </si>
  <si>
    <t>Dr.439</t>
  </si>
  <si>
    <t>Dr.440</t>
  </si>
  <si>
    <t>Dr.441</t>
  </si>
  <si>
    <t>Dr.442</t>
  </si>
  <si>
    <t>Dr.443</t>
  </si>
  <si>
    <t>Received From Power Mech Projects Limited.(CA-3306475)</t>
  </si>
  <si>
    <t>17.12.2018</t>
  </si>
  <si>
    <t>Advance to Sahin For Bottom Plate &amp; Petty Cash Purpose At Rampal Project (By Uttara Bank &amp; Cash) Via Hridoy A/C</t>
  </si>
  <si>
    <t>Salary Expense(November-2018)Nizam,Shafiqul Islam,Billal,Billal Khan,Mir Minto &amp; Nor Alam.</t>
  </si>
  <si>
    <t>Payment to Robel For Breakfast,Lunch &amp; Dinner  For Visiting  Rampal Project.With Ikhtear Sir &amp; Kibria Sir.</t>
  </si>
  <si>
    <t>Payment to Robel For Octane Bill Purpose For Visiting  Rampal Project.(33.59X89.30) &amp; (44.94X89)With Ikhtear Sir &amp; Kibria Sir.</t>
  </si>
  <si>
    <t>Payment to Robel For Toll Purpose For Visiting Rampal Project.With Ikhtear Sir &amp; Kibria Sir.</t>
  </si>
  <si>
    <t>Conveyance to Sumon Sir For Silencer Purchasing Purpose For Rampal Project(Office to Nawabpor to Office)</t>
  </si>
  <si>
    <t>Advance to Engr.Mahfuj For Visiting Rampal Project.</t>
  </si>
  <si>
    <t>Bkash Charge For Sending Money of Engr.Mahfuj Advance For Visiting Rampal Project.</t>
  </si>
  <si>
    <t>18.12.2018</t>
  </si>
  <si>
    <t>Bikrumpur Machine Ghar</t>
  </si>
  <si>
    <t>Advance to Bikrumpur Machinery Ghar For Compressor Machine At Rampal Project.</t>
  </si>
  <si>
    <t>Engr.Mahfuj</t>
  </si>
  <si>
    <t>Conveyance to Sumon Rana For Sending Money of Bikrumpur Machinery Ghar For Compressor Purpose  Advance(Office to IBBL to Office)</t>
  </si>
  <si>
    <t>Conveyance to Sumon Rana For Sending Money of Sahin Advance(Office to Uttara Bank to Office)</t>
  </si>
  <si>
    <t>Advance to Sahin For Advance House Rent,Transport Cost Of Compressor,Bucket  &amp; Petty Cash Purpose At Rampal Project (By Uttara Bank) Via Himel &amp; Hridoy A/C</t>
  </si>
  <si>
    <t>Mobile Recharge For Rampal Project.</t>
  </si>
  <si>
    <t>Bkash Charge For Sending Money of Radot Oil For Compressor Machine At Rampal Project.</t>
  </si>
  <si>
    <t>Payment to Ryans Computer For M.S Software For Office</t>
  </si>
  <si>
    <t>M.S Software(Computer)</t>
  </si>
  <si>
    <t>Bikrumpur Machinery Ghar For Radot Oil For Compressor Machine At Rampal Project.</t>
  </si>
  <si>
    <t>Advance to Sahin For Transport Cost Of Compressor Machine At Rampal Project.</t>
  </si>
  <si>
    <t>Bkash Charge For Sending Money of Sahin Advance For Transport Cost Of Compressor Machine At Rampal Project.</t>
  </si>
  <si>
    <t>Received From Power Mech Projects Limited.</t>
  </si>
  <si>
    <t>Cash Withdraw From MBL(CA-4435223)For Supplier Payment &amp; Petty Cash Purpose At Rampal Project.</t>
  </si>
  <si>
    <t>20.12.2018</t>
  </si>
  <si>
    <t>Salary For The Month Of November-2018 From MBL A/C.(CA-4435222)By Cash Cheque.</t>
  </si>
  <si>
    <t>Loan Payment to Afzal Sir Via Repon By Cash Cheque(4435224)</t>
  </si>
  <si>
    <t>Cash Cheque to Mahfuja Traders For Polymer Purpose(CA-4435225)Via Repon</t>
  </si>
  <si>
    <t>Cash Cheque to A.H Cargo Service For Crane Rent Purpose.(C.A-4435226)</t>
  </si>
  <si>
    <t>Loan Payment to Afzal Sir By IBBL A/C.</t>
  </si>
  <si>
    <t>Advance to Monowar For Fabrication works At Rampal Project.By DBBL A/C Via Monowar A/C.</t>
  </si>
  <si>
    <t>Advance to Sahin For Transport Cost Of Polymer &amp; Petty Cash Purpose  At Rampal Project.By Uttara Bank Via Hridoy A/C.</t>
  </si>
  <si>
    <t>Conveyance Sumon Rana For Sending Money of Sahin &amp; Sea Link International Advance At Rampal Project.</t>
  </si>
  <si>
    <t>Online Charge For Sending Money Of Monowar For Fabrication works At Rampal Project.</t>
  </si>
  <si>
    <t>Echange Limited(E,H,D)</t>
  </si>
  <si>
    <t>Advance  to Echange Limited For Excavator,Hammer &amp; Dump Truck Rent Purpose At Rampal Project.By UCB A/C.</t>
  </si>
  <si>
    <t>Payment to Shaon Engineering for Bucket,Teeth,Holder &amp; Lock Pin. At Rampal Project(By DBBL A/C) Via Jalal Engineering A/C</t>
  </si>
  <si>
    <t>Payment to Azizul Haq For Low Bed Rent Purpose At Rampal Project.By UCB A/C.</t>
  </si>
  <si>
    <t xml:space="preserve">Payment to All Site Staff For Feast Purpose At Rampal Project. </t>
  </si>
  <si>
    <t>26.12.2018</t>
  </si>
  <si>
    <t>Cash Withdraw From MBL(CA-4435227)For Supplier Payment &amp; Petty Cash Purpose At Rampal Project.</t>
  </si>
  <si>
    <t>24.12.2018</t>
  </si>
  <si>
    <t>Advance to Sahin For Pic-up Rent(Nov-2018) &amp; Petty Cash Purpose  At Rampal Project.By Uttara Bank Via Hridoy A/C.</t>
  </si>
  <si>
    <t>Conveyance Sumon Rana For Sending Money of Sahin Advance At Rampal Project.By Rickshaw</t>
  </si>
  <si>
    <t>Advance to Sahin For Advance  Pic-up Rent &amp; Petty Cash Purpose  At Rampal Project.By Bkash Via Hridoy &amp; Prince.</t>
  </si>
  <si>
    <t>Bkash Charge For Sending Money of Sahin Advance  At Rampal Project.</t>
  </si>
  <si>
    <t>25.12.2018</t>
  </si>
  <si>
    <t>Payment to Hamja Restaurant For Beef &amp; Chiken Bireani Porpose For Office.(160X4) &amp; (120X1)</t>
  </si>
  <si>
    <t>Advance to Tarif Engineering Services For Piling Casting At Rampal Project(By Al-Arafh Islami Bank)</t>
  </si>
  <si>
    <t>Online Charge For Sending Money of Mia Bazar Filling Station For Diesel Purpose At Rampal Project.</t>
  </si>
  <si>
    <t>Conveyance to Imran Hassan For Cash Withdraw Purpose From MBL(Office to MBL to Office)</t>
  </si>
  <si>
    <t>Advance Salary to Mir Minto</t>
  </si>
  <si>
    <t>Mir Minto</t>
  </si>
  <si>
    <t>Conveyance to Liton For Sending Money of Mir Mintos Advance Salary(Office to MBL to Office)By Rickshaw.</t>
  </si>
  <si>
    <t>27.12.2018</t>
  </si>
  <si>
    <t>Advance to Lyra Soluations Limited For 28 MM Rope Wire At Rampal Project.By Standard Bank A/C.</t>
  </si>
  <si>
    <t>Coneyance to Imran Hassan For Sending Money Of Lyra Soluations Limited At Rampal Project.Two times By Rickshaw.</t>
  </si>
  <si>
    <t>01.01.2019</t>
  </si>
  <si>
    <t>Received From Power Mech Projects Limited.(CA-0881397)</t>
  </si>
  <si>
    <t>Management Cost(December-2018) to KPL Construction &amp; Developers Ltd.</t>
  </si>
  <si>
    <t>Cash Withdraw From MBL(CA-4435228)For Supplier Payment &amp; Petty Cash Purpose At Rampal Project.</t>
  </si>
  <si>
    <t>Advance For Sahin For Petty Cash Purpose  At Rampal Project.By DBBL A/C Via Sams Saber A/C.</t>
  </si>
  <si>
    <t>Online Charge For Sending Money Of Sahin Advane At Rampal Project.</t>
  </si>
  <si>
    <t>Advance to Faisal Akhand Prince For Visiting Purpose At Rampal Project.</t>
  </si>
  <si>
    <t>Bkash Charge For Sending Money of Faisal Akhand Prince  Advance  At Rampal Project.</t>
  </si>
  <si>
    <t>Mobile Bill(Afzal Sir)(January-2019)Official Purpose</t>
  </si>
  <si>
    <t>Mobile Bill(Ikhtear Sir)(January-2019)Official Purpose</t>
  </si>
  <si>
    <t>02.01.2019</t>
  </si>
  <si>
    <t>Ikhtear Sir(11435)</t>
  </si>
  <si>
    <t>Sumon Sir</t>
  </si>
  <si>
    <t>Lyra Soluation Ltd.</t>
  </si>
  <si>
    <t>05.01.2019</t>
  </si>
  <si>
    <t>Pic Up Rent For 28MM Rope Wire Shipment At Rampal Project(Dhaka to Rampal Project.)(27.12.2018)</t>
  </si>
  <si>
    <t>Conveyance to Sumon Sir For 28MM Rope Wire Purchasing Purpose At Rampal Project.(Office to Shoni Akhra to Office)By Bike(27.12.2018)</t>
  </si>
  <si>
    <t>Lunch &amp; Dinner Bill to Rana For 28MM Rope Wire Shipment Purpose At Rampal Project.(Driver &amp; Rana)(27.12.2018)</t>
  </si>
  <si>
    <t>Conveyance to Sumon Rana For 28MM Rope Wire Shipment Purpose At Rampal Project.(By Rickshaw,CNG &amp; Bus)(27.12.2018)</t>
  </si>
  <si>
    <t>Bkash Charge For Sending Money of Sumon Rana At Rampal Project.</t>
  </si>
  <si>
    <t>Advance to Sumon Sir For  Pic Up Rent Purpose For Wire Rope Exchange Purpose At Rampal Project.</t>
  </si>
  <si>
    <t>Adjustment Against Advance Of Sumon Sir(Advance Amount-15000 Less Bill Amount-11000)=Balance-4000</t>
  </si>
  <si>
    <t>Pic Up Rent For Rope Wire Shipment At Rampal Project(Dhaka to Rampal Project.)(03.01.2019)</t>
  </si>
  <si>
    <t>Advance Salary to Abu Bakor By Cash Via Hridoy</t>
  </si>
  <si>
    <t>Advance to Sahin For male,female,Safety Shoes,Hose Pipe Making &amp; Hand Gloves Purpose At Rampal Project.By Cash &amp; Bkash Via Hridoy &amp; Saber</t>
  </si>
  <si>
    <t>Cash Withdraw From MBL(CA-4435229)For Supplier Payment &amp; Petty Cash Purpose At Rampal Project.</t>
  </si>
  <si>
    <t>06.01.2019</t>
  </si>
  <si>
    <t>Conveyance to Liton For Sending Money of Sahin Advance (Office to Uttara Bank to Office)</t>
  </si>
  <si>
    <t>Salary to Sohan For The month of September-2018</t>
  </si>
  <si>
    <t>Advance to Faisal Akhand Prince For Gascate Paper,Beyaring,Oil Sil &amp; Workshop Bill Purpose At Rampal Project.</t>
  </si>
  <si>
    <t>Online Charge For Sending Money Of Monowar Advance At Rampal Project.</t>
  </si>
  <si>
    <t>07.01.2019</t>
  </si>
  <si>
    <t>Adjustment Against Advance Amount Of Himel(Advance Amount-75000 Less Bill Amount-75000)=Balance Amount- nil.</t>
  </si>
  <si>
    <t>Courier Charge(SA Paribhan)Fuel Fiter Purpose At Rampal Project.=Tk150</t>
  </si>
  <si>
    <t>08.01.2019</t>
  </si>
  <si>
    <t>Adjustment Against Advance Of Himel(Advance Amount-15500 Less Bill Amount-14195)=Balance-1305 is Refund</t>
  </si>
  <si>
    <t>Cash Withdraw From MBL(CA-4435230)For Supplier Payment &amp; Petty Cash Purpose At Rampal Project.</t>
  </si>
  <si>
    <t>09.01.2019</t>
  </si>
  <si>
    <t>Conveyance to Sumon Rana For Sending Money of Sahin Advance At Rampal Project</t>
  </si>
  <si>
    <t>Excavator Rent to KPL Construction &amp; Developers Limited for the month of Dec-2018 At Rampal Project.</t>
  </si>
  <si>
    <t>Excavator Rent</t>
  </si>
  <si>
    <t>Entertainment Expense(Breakfast,Lunch,Dinner)(Saber,Prince,Nizam &amp; Pic-up Driver) At Rampal Project=Tk.10040.</t>
  </si>
  <si>
    <t>Fuel Expense(Grease,petrol,Hydolic Oil) At Rampal Project=Tk.13100</t>
  </si>
  <si>
    <t>Repair &amp; Maintenance(Motor Coil Binding 15HP,10HP,5.5HP,1HP,Key Making of SWDM 28) At Rampal Project=Tk.27350</t>
  </si>
  <si>
    <t>Printing &amp; Stationery(paper,Marker,Pen,File,Gam,Register Book &amp; Photocopy) At Rampal Project.=Tk.1491</t>
  </si>
  <si>
    <t>Site Raw Expense(Fuel Filter,Wrench,Cement,Belt,Bolt,Brush Ball,Bearing,Oring Box,Balb,Fan) At Rampal Project.=Tk.19680</t>
  </si>
  <si>
    <t>Maintenance Expense(Mosquite,Bed Sheet,shoes) At Rampal Project.=Tk.500</t>
  </si>
  <si>
    <t>Bkash Charge For Sending Money of Fuel Fiter Via Prince At Rampal Project.=Tk.45</t>
  </si>
  <si>
    <t>Advance to Sahin For Rent of Staff House(Dec-2018),Wages of Maksudur Rahman,Boa Bill(Dec-2018) &amp; Pamp Repair  Purpose At Rampal Project.By Uttara Bank Via Hridoy A/C.</t>
  </si>
  <si>
    <t>Bkash Charge For Sending Money of Faisal Akhand Prince Advance &amp; Salary of Sohan.</t>
  </si>
  <si>
    <t>10.01.2019</t>
  </si>
  <si>
    <t>Advance to Sahin For Electric Cable,Labour Sheet Rent(Dec-2018) &amp; Petty Cash Purpose At Rampal Project.By Dbbl A/C Via Hridoy A/C)</t>
  </si>
  <si>
    <t>Payment to A One Construction for Rig Machine parts Purpose.</t>
  </si>
  <si>
    <t>Advance to Sahin For Shaft Repair,Acetlene Gas,Mobil,Greez,House Rent of Minto &amp; Sound Test Wire Purpose At Rampal Project.By Uttara &amp; Dbbl A/C Via Hridoy A/C)</t>
  </si>
  <si>
    <t>Shaon Engineering For Bucket,Holder &amp; Other Purpose  At Rampal Project.(By DBBL Via Jalal Engineering Works A/C)</t>
  </si>
  <si>
    <t>13.01.2019</t>
  </si>
  <si>
    <t>Advance to Sahin For Transport of Wire,Gas,Rope Repair,Mud Pump Repair &amp; Petty Cash Purpose At Rampal Project.By Uttara Bank A/C Via Hridoy A/C)</t>
  </si>
  <si>
    <t>Conveyance to Imran Hassan For Sending Money of Sahin Advance At Rampal Project.</t>
  </si>
  <si>
    <t>Jamdani Saree For Engineers Wife At Rampal Project.(4 Pices)</t>
  </si>
  <si>
    <t>Cash Cheque to A.H Cargo Service For Crane Rent Purpose.(C.A-4435232) At Rampal Project.</t>
  </si>
  <si>
    <t>14.01.2019</t>
  </si>
  <si>
    <t>Received From Power Mech Projects Limited.(CA-0881409)</t>
  </si>
  <si>
    <t>Cash Withdraw From MBL(CA-4435234)For Supplier Payment &amp; Petty Cash Purpose At Rampal Project.</t>
  </si>
  <si>
    <t>Cash Cheque to Echange Limited For the month of Oct-2018 Purpose.(C.A-4435233) At Rampal Project.</t>
  </si>
  <si>
    <t>Panch File(20X15)For Office</t>
  </si>
  <si>
    <t>15.01.2019</t>
  </si>
  <si>
    <t>Conveyance to Sumon Rana For Bank Requisition For Salary Transfer(Office to MBL to Office)</t>
  </si>
  <si>
    <t>Salary For The Month Of December-2018 From MBL A/C.By Cash Cheque.</t>
  </si>
  <si>
    <t>16.01.2019</t>
  </si>
  <si>
    <t>Conveyance to Imran Hassan For Sending Salary For the month of December-2018(Office to MBL to Office)By Rickshaw.</t>
  </si>
  <si>
    <t>17.01.2019</t>
  </si>
  <si>
    <t>Cash Withdraw From MBL(CA-4435235)For Supplier Payment &amp; Petty Cash Purpose At Rampal Project.</t>
  </si>
  <si>
    <t>Sea Link International For Diesel Purpose At Rampal Project.By IBBL A/C.</t>
  </si>
  <si>
    <t>Conveyance to Imran Hassan For Sending Money of Sea Link International Advance At Rampal Project.</t>
  </si>
  <si>
    <t>Payment to Robel For Diesel Purpose for Visiting Rampal Project(Chairman,MD &amp; Director Sir)</t>
  </si>
  <si>
    <t>Payment to Robel For Toll &amp; Parking Purpose for Visiting Rampal Project(Chairman,MD &amp; Director Sir)</t>
  </si>
  <si>
    <t>Payment to Robel For Snack Lunch Bill Purpose for Visiting Rampal Project(Chairman,MD &amp; Director Sir)</t>
  </si>
  <si>
    <t>Payment to Repon For Bank Credit Report Charge Purpose.</t>
  </si>
  <si>
    <t>Payment to City Inn Ltd &amp; Sahin hotel rent purpose for Rampal Project.</t>
  </si>
  <si>
    <t>Payment to City Inn Ltd For restaurant bill purpose for Rampal Project.</t>
  </si>
  <si>
    <t>Payment Novo Air For Ticket fair purpose for visiting rampal project.</t>
  </si>
  <si>
    <t>Salary Expense(December-2018)Nizam,Shafiqul Islam,Billal,Billal Khan,Mir Minto,Shariful Islam &amp; Nor Alam.By DBBL &amp; MBL A/C Via Hridoy.</t>
  </si>
  <si>
    <t>Advance to Sahin For Welding Rod,G.I Wire &amp; Site Expense At Rampal Project.By Ikhtear Sir Via Hridoy.</t>
  </si>
  <si>
    <t>20.01.2019</t>
  </si>
  <si>
    <t>Advance to Monowar For Fabrication works At Rampal Project.By Cash Via Monowar</t>
  </si>
  <si>
    <t>21.01.2019</t>
  </si>
  <si>
    <t>Cash Cheque to A.H Cargo Service For Crane Rent Purpose.(C.A-4435236)</t>
  </si>
  <si>
    <t>Cash Withdraw From MBL(CA-4435231)For Supplier Payment &amp; Petty Cash Purpose At Rampal Project.</t>
  </si>
  <si>
    <t>Advance to Sahin For Welding Rod &amp; Petty Cash Purpose At Rampal Project.By DBBL Account Via Hridoy A/C</t>
  </si>
  <si>
    <t xml:space="preserve">Conveyance to Imran For Cash withdraw from MBL (Office to MBL to Office) </t>
  </si>
  <si>
    <t>Adjustment Against Advance Of Sumon Sir(Advance Amount-4000 Less Refund Amount-4000)=Balance-Nil</t>
  </si>
  <si>
    <t>Cash Refund from Sumon Sir</t>
  </si>
  <si>
    <t>LC Payment(Machinery)</t>
  </si>
  <si>
    <t>LC Payment of Machinery (Due) By  A ONE Construction &amp; Logistic (CA-2702286)A/C Cheque.</t>
  </si>
  <si>
    <t>23.01.2019</t>
  </si>
  <si>
    <t>Received From Power Mech Projects Limited.(CA-0881441)</t>
  </si>
  <si>
    <t>Mobile Bill to Engr.Abu Taher for the month of December &amp; January-2018</t>
  </si>
  <si>
    <t>Bkash Charge For sending money of mobile bill of Engr.Abu Taher</t>
  </si>
  <si>
    <t>Advance to Sahin For 4" Hose Pipe 300 Feet,Acetyline Gas,Oxygen,Pic-Up rent(Dec-2018) &amp; Petty Cash Purpose At Rampal Project.By DBBL A/C Via Hridoy A/C</t>
  </si>
  <si>
    <t>24.01.2019</t>
  </si>
  <si>
    <t>Advance to Sahin For Welding rod,Safety Shoe  &amp; Petty Cash Purpose At Rampal Project.By Cash Via Hridoy</t>
  </si>
  <si>
    <t>Cook Salary</t>
  </si>
  <si>
    <t>Oxygen &amp; Gas</t>
  </si>
  <si>
    <t>Cook Salary= Tk.10000</t>
  </si>
  <si>
    <t>Transport Cost(Pic-Up Rent of Polimer)=Tk.11000</t>
  </si>
  <si>
    <t>Islam</t>
  </si>
  <si>
    <t>Monju</t>
  </si>
  <si>
    <t>Sarowar</t>
  </si>
  <si>
    <t>Borhan</t>
  </si>
  <si>
    <t>Tips(Driver,Excavator Operator)=Tk.1500</t>
  </si>
  <si>
    <t>Printing &amp; Stationery(Chalk,Pen,Paper,Clip,Photocopy,Sticker)=Tk.2760</t>
  </si>
  <si>
    <t>Fuel Expense(Patrol,Grease,Mobil)=Tk.29210.</t>
  </si>
  <si>
    <t>Labor Cost(Trimee pipe carrying,cylinder)=Tk.1100</t>
  </si>
  <si>
    <t>Medical Expense(Bakar)=Tk.115</t>
  </si>
  <si>
    <t>House Rent(Staff Room)=Tk.9500</t>
  </si>
  <si>
    <t>Maintenance Expense(Metress,Bed Sheet,Himel,Kitchen)=Tk.7150</t>
  </si>
  <si>
    <t>Courier Charge(S.A Paribhan)=Tk.2960</t>
  </si>
  <si>
    <t>Oxygen &amp; Gas=Tk.9267</t>
  </si>
  <si>
    <t>Water Bill=Tk.800</t>
  </si>
  <si>
    <t>Pic-Up Rent</t>
  </si>
  <si>
    <t>Pic-Up Rent(Oct-2018, advance rent)=Tk.28500</t>
  </si>
  <si>
    <t>Loan &amp; Advance:Advance to Hridoy=Tk.594</t>
  </si>
  <si>
    <t>Conveyance Expense(Bus,Micro Bus,Rickshaw,Lounch,Tool,Van)with Nizam,Sahin  At Rampal Project.=Tk.2050</t>
  </si>
  <si>
    <t>Cash Withdraw From MBL(CA-4435237)For Supplier Payment &amp; Petty Cash Purpose At Rampal Project.</t>
  </si>
  <si>
    <t>Advance to Mahfuja Traders For Polymer Purchase Purpose For Rampal Project.(By Cash Via Kibria Sir)</t>
  </si>
  <si>
    <t>28.01.2019</t>
  </si>
  <si>
    <t>Advance to Sahin For Site Expense At Rampal Project.</t>
  </si>
  <si>
    <t>Adjustment Against Advance Amount Of Hridoy(Advance Amount-404594 Less Bill Amount-380594)=Balance-24000</t>
  </si>
  <si>
    <t>Maintenance Expense(Kitchin Room,</t>
  </si>
  <si>
    <t>Electric Bill(Pich Paka,Digraz</t>
  </si>
  <si>
    <t>Entertainment Expense(Staff,Employee, tiffin</t>
  </si>
  <si>
    <t>Repair &amp; Maintenance(Tripod Pully Repair,Fan Repair,Pump Repair,Rod Bending Repair</t>
  </si>
  <si>
    <t>Water Bill(Drinking Water &amp; Cooking Water</t>
  </si>
  <si>
    <t>House Rent(Digraj Nov-2018,Labor Shed Nov-18,</t>
  </si>
  <si>
    <t>Courier Expense(</t>
  </si>
  <si>
    <t>Fuel Expense(Patrol,Mobil,</t>
  </si>
  <si>
    <t>Site Raw Expense(Socket,Beyaring,Matell Light,4" Hose Pipe, tester,Siling Fan,Electri Cable,Cutting Plus,Scru Driver,Nut,Lock,Color, goti  nut,Welding Rod,W.I Wire,Scraber,Male-Female,3 Pin Avo Metre,Rope,Cement,Cutting Plate,Bamboo,Bucket Plate,Nozel,</t>
  </si>
  <si>
    <t>Fixed Assets(Cylinder,</t>
  </si>
  <si>
    <t>30.01.2019</t>
  </si>
  <si>
    <t>31.01.2019</t>
  </si>
  <si>
    <t>Ikhtear Sir(753775)</t>
  </si>
  <si>
    <t>01.02.2019</t>
  </si>
  <si>
    <t>02.02.2019</t>
  </si>
  <si>
    <t>Advance to Sahin For  Pic Up Rent Purpose At Rampal Project.By Bkash</t>
  </si>
  <si>
    <t>Advance to Monowar For Fabrication works At Rampal Project.By DBBL Via Monowar Enterprise.</t>
  </si>
  <si>
    <t>03.02.2019</t>
  </si>
  <si>
    <t>Online Charge For Sending Money of Monowar For Fabrication works At Rampal Project.</t>
  </si>
  <si>
    <t>Mobile Bill(February-2019)Official Purpose(Afzal Sir &amp; Ikhtear Sir)</t>
  </si>
  <si>
    <t>Labour Cost(Soling Making,moksodur,</t>
  </si>
  <si>
    <t>05.02.2019</t>
  </si>
  <si>
    <t>Cash Withdraw From MBL(CA-4435238)For Supplier Payment &amp; Petty Cash Purpose At Rampal Project.</t>
  </si>
  <si>
    <t>Online Charge For Sending Money of Sahin Advance At Rampal Project.</t>
  </si>
  <si>
    <t>Management Cost(January-2019) to KPL Construction &amp; Developers Ltd.</t>
  </si>
  <si>
    <t>Excavator Rent to KPL Construction &amp; Developers Limited for the month of January-2019 At Rampal Project.</t>
  </si>
  <si>
    <t>Advance to Sahin For Wages Bill of Maksudur &amp; Boa Bill Purpose At Rampal Project.By DBBL A/C Via Sams Saber A/C</t>
  </si>
  <si>
    <t>06.02.2019</t>
  </si>
  <si>
    <t>Mobile Bill=Tk.400</t>
  </si>
  <si>
    <t>Entertainment Expese(Snack for Staff both Shift,Cummins Site Engr.Minto,Billal,Pic-Up Driver) &amp;( 47 DaysX200)=Tk.10875</t>
  </si>
  <si>
    <t>Repair &amp; Maintenance(Swibel Repair)=Tk.8500</t>
  </si>
  <si>
    <t>Fuel Expense(Octane)=Tk.300</t>
  </si>
  <si>
    <t>Printing &amp; Stationery(Photocopy,Print,File &amp; Folder purchase)=Tk.960</t>
  </si>
  <si>
    <t>Safety Items(Safety Shoes)=Tk.1400</t>
  </si>
  <si>
    <t>Site Raw Expense(Bearing,Oil Seal,Gascate Paper,Cerosin,Socket Nipple)=Tk.20030</t>
  </si>
  <si>
    <t>Online Charge=Tk.60</t>
  </si>
  <si>
    <t>Advance to Sahin(Bazar)=Tk.2000</t>
  </si>
  <si>
    <t>Adjustment Against Advance Amount Of Prince(Advance Amount-41500 Less Bill Amount-48522)=Due Balance Amount- 7022 is Paid</t>
  </si>
  <si>
    <t>Conveyance Expense(Bus,Launch,Micro Bus, Auto Rickshaw,Minto,Billal,Pic-Up,Driver,Taher)=Tk.3997</t>
  </si>
  <si>
    <t>Conveyance to Hridoy(Office to MBL to Office)</t>
  </si>
  <si>
    <t>Advance to Hridoy for Conveyance Purpose At Rampal Project.By Cash Via Hridoy</t>
  </si>
  <si>
    <t>07.02.2019</t>
  </si>
  <si>
    <t>Advance to Sahin For Labour Sheet Rent(Jan-19) &amp; Staff House Rent(Jan-19)Purpose At Rampal Project.By DBBL A/C Via Hridoy A/C</t>
  </si>
  <si>
    <t>Advance to Prince For Compund Oil Purpose For Rampal Project.By Hand Cash</t>
  </si>
  <si>
    <t>Material Sales by Cash At Rampal Project(Total Sales=84600 Less Cost=10650 So, Balance Received=73950</t>
  </si>
  <si>
    <t>Misce.Income</t>
  </si>
  <si>
    <t>09.02.2019</t>
  </si>
  <si>
    <t>Advance to Sahin For Petty Cash Purpose At Rampal Project.</t>
  </si>
  <si>
    <t>10.02.2019</t>
  </si>
  <si>
    <t>Advance to Engr.Mahfujur Rahman Arif</t>
  </si>
  <si>
    <t>Refund Cash</t>
  </si>
  <si>
    <t>A.H Cargo Service</t>
  </si>
  <si>
    <t>Cash Withdraw From MBL(CA-4435239)For Supplier Payment</t>
  </si>
  <si>
    <t>A.H Cargo Service For Crane Rent Purpose.By Prime Bank Via Haq Filling Station A/C.</t>
  </si>
  <si>
    <t>Conveyance to Sumon Rana For Cash Withdraw form MBL &amp; A.H Cargo Service Payment At Prime Bank.</t>
  </si>
  <si>
    <t>Yard Rent For the month of Jan-19 &amp; Feb-19</t>
  </si>
  <si>
    <t>Advance to Mahfuja Traders For Polymer Purchase Purpose For Rampal Project.(By Cash Via Repon)</t>
  </si>
  <si>
    <t>Corier Charge For Sending Compound Oil At Rampal Project.</t>
  </si>
  <si>
    <t>Conveyance Expense(Bus,Launch,Micro Bus,CNG)=Tk.2698</t>
  </si>
  <si>
    <t>Entertainment Expese(Break Fast,Lunch &amp; Dinner)=Tk.575</t>
  </si>
  <si>
    <t>Fuel Expense(Octane &amp; Compounder Oil)=Tk.5500</t>
  </si>
  <si>
    <t>Adjustment Against Advance Amount Of Prince(Advance Amount-12000 Less Bill Amount-5500)=Due Balance Amount- 6500 is Paid</t>
  </si>
  <si>
    <t>Adjustment Against Advance Amount Of Engr.Arif(Advance Amount-6050 Less Bill Amount-3273)=Due Balance Amount- 2777 But Paid-1565</t>
  </si>
  <si>
    <t>Received From Engr.Joy(This Amount was Paid for conveyance Purpose At Bhanga Project)</t>
  </si>
  <si>
    <t>13.02.2019</t>
  </si>
  <si>
    <t>Cash Withdraw From MBL(CA-4435240)For Supplier Payment</t>
  </si>
  <si>
    <t>Cash Withdraw From MBL(CA-4435240)For Petty Cash Purpose</t>
  </si>
  <si>
    <t>Advance to Sahin for rent of minto,gas/oxygen,meal,grinding machine,color,dump truck tips &amp; Petty cash Purpose at Rampal Project.By DBBL A/C Via Hridoy A/C.</t>
  </si>
  <si>
    <t>Advance to Sahin for Mud Pump Repair &amp;  Petty cash Purpose at Rampal Project.By DBBL A/C Via Hridoy A/C.</t>
  </si>
  <si>
    <t>Advance Salary to Sams Saber</t>
  </si>
  <si>
    <t>12.02.2019</t>
  </si>
  <si>
    <t xml:space="preserve">Diesel Filter(4 PiceX900)For Rampal Project from Talukder Trade International </t>
  </si>
  <si>
    <t>Octane Bill(3X100) to Prince(Office to Nawabpur to Office)For Filter Purchasing Purpose.</t>
  </si>
  <si>
    <t>14.02.2019</t>
  </si>
  <si>
    <t>Material Sales by Cash At Rampal Project(Total Sales=40060 Less Cost=2900 So, Balance Received=37160</t>
  </si>
  <si>
    <t>17.02.2019</t>
  </si>
  <si>
    <t>19.02.2019</t>
  </si>
  <si>
    <t>18.02.2019</t>
  </si>
  <si>
    <t>Online Charge For Sending Salary</t>
  </si>
  <si>
    <t>Salary For The Month Of January--2019 By Cash Via Prince &amp; DBBl A/C Via Sams Saber A/C</t>
  </si>
  <si>
    <t>Advance to Faisal Akhand Prince For Visiting Rampal Project with Bill.</t>
  </si>
  <si>
    <t>20.02.2019</t>
  </si>
  <si>
    <t>Cash Withdraw From MBL(CA-4435243)For A.H Cargo Service Payment Purpose</t>
  </si>
  <si>
    <t>Salary For The Month Of January-2019 From MBL A/C.By Cash Cheque.(CA:4435241)</t>
  </si>
  <si>
    <t>Cash Cheque to Mahfuja Traders For Polymer Purpose(CA-4435242)</t>
  </si>
  <si>
    <t>A.H Cargo Service For Crane Rent Purpose.By UCB Bank Via A.H Cargo Service  A/C.</t>
  </si>
  <si>
    <t>24.02.2019</t>
  </si>
  <si>
    <t>Salary to Sarwar Kamal For The Month Of January--2019 By Bkash Cash Via Sarwar Kamal</t>
  </si>
  <si>
    <t>Corier Charge For Sending ID Card Of PMPL At Rampal Project.</t>
  </si>
  <si>
    <t>Conveyance to Liton For Sending ID Card Of PMPL At Rampal Project.</t>
  </si>
  <si>
    <t>Grill,Bread &amp; Cocacola For Office</t>
  </si>
  <si>
    <t>Salary to Islam For The Month Of January-2019 By Cash Via Islam</t>
  </si>
  <si>
    <t>Conveyance to Hridoy for Sending Money of Pic-up Rent At Rampal Project(Office to House bilding to Office)</t>
  </si>
  <si>
    <t>25.02.2019</t>
  </si>
  <si>
    <t>Honorarium &amp; Remuneration to Ikhtear Sir For the month of Dec-2018 &amp; Jan &amp; Feb-2019(Honorarium-50,000 &amp; Remuneration-50,000 Per month)</t>
  </si>
  <si>
    <t>Honorarium</t>
  </si>
  <si>
    <t>Mobile Bill(Ikhtear Sir)(February-2019)Official Purpose</t>
  </si>
  <si>
    <t>Cash Withdraw From MBL(CA-4435244)For Supplier Payment &amp; Petty Cash Purpose.</t>
  </si>
  <si>
    <t>Salary to Sehab Uddin For Partial Salary of the monthe of December-2018 Which Money deduction from his Salary.By Bkash</t>
  </si>
  <si>
    <t>Conveyance to Imran Hassan For Sending Money of Sea Link International Advance At Rampal Project.By Rickshaw</t>
  </si>
  <si>
    <t>26.02.2019</t>
  </si>
  <si>
    <t xml:space="preserve">Adjustment of Sahin Against </t>
  </si>
  <si>
    <t>Advance to Hridoy</t>
  </si>
  <si>
    <t>Adjustment Against Advance Amount Of Hridoy(Advance Amount-46000 Less Bill Amount-45928)=Balance-72</t>
  </si>
  <si>
    <t>Entertainment Expense=Tk.160</t>
  </si>
  <si>
    <t>Tips(Dump Truck Driver &amp; Others)=Tk.1385</t>
  </si>
  <si>
    <t>Fuel Expense=Tk.1000</t>
  </si>
  <si>
    <t>Cash Refund</t>
  </si>
  <si>
    <t>Site Raw Expense(5 Pices Halide Purchase)=Tk.24000</t>
  </si>
  <si>
    <t>Conveyance Expense=Tk.1383</t>
  </si>
  <si>
    <t>Loan to Afzal Sir By Cash Cheque(CA-4435245)</t>
  </si>
  <si>
    <t>27.02.2019</t>
  </si>
  <si>
    <t>Cash Withdraw From MBL(CA-4435246)For Supplier Payment &amp; Petty Cash Purpose.</t>
  </si>
  <si>
    <t>Conveyance to Imran Hassan For Cash Withdraw Purpose(Office to MBL to Office)</t>
  </si>
  <si>
    <t>Ikhtear Sir(1721275)</t>
  </si>
  <si>
    <t>01.03.2019</t>
  </si>
  <si>
    <t>Dr.444</t>
  </si>
  <si>
    <t>Dr.445</t>
  </si>
  <si>
    <t>Dr.446</t>
  </si>
  <si>
    <t>Dr.447</t>
  </si>
  <si>
    <t>Dr.448</t>
  </si>
  <si>
    <t>Dr.449</t>
  </si>
  <si>
    <t>Dr.450</t>
  </si>
  <si>
    <t>Dr.451</t>
  </si>
  <si>
    <t>Dr.452</t>
  </si>
  <si>
    <t>Dr.453</t>
  </si>
  <si>
    <t>Dr.454</t>
  </si>
  <si>
    <t>Cr.56</t>
  </si>
  <si>
    <t>Dr.455</t>
  </si>
  <si>
    <t>Dr.456</t>
  </si>
  <si>
    <t>Dr.457</t>
  </si>
  <si>
    <t>Dr.458</t>
  </si>
  <si>
    <t>Dr.459</t>
  </si>
  <si>
    <t>Dr.460</t>
  </si>
  <si>
    <t>Dr.461</t>
  </si>
  <si>
    <t>Dr.462</t>
  </si>
  <si>
    <t>Dr.463</t>
  </si>
  <si>
    <t>Cr.57</t>
  </si>
  <si>
    <t>Dr.464</t>
  </si>
  <si>
    <t>Dr.465</t>
  </si>
  <si>
    <t>Dr.466</t>
  </si>
  <si>
    <t>Dr.467</t>
  </si>
  <si>
    <t>Dr.468</t>
  </si>
  <si>
    <t>Dr.469</t>
  </si>
  <si>
    <t>Dr.470</t>
  </si>
  <si>
    <t>Dr.471</t>
  </si>
  <si>
    <t>Dr.472</t>
  </si>
  <si>
    <t>Dr.473</t>
  </si>
  <si>
    <t>Dr.474</t>
  </si>
  <si>
    <t>Dr.475</t>
  </si>
  <si>
    <t>Dr.476</t>
  </si>
  <si>
    <t>Dr.477</t>
  </si>
  <si>
    <t>Cr.58</t>
  </si>
  <si>
    <t>Dr.478</t>
  </si>
  <si>
    <t>Dr.479</t>
  </si>
  <si>
    <t>Dr.480</t>
  </si>
  <si>
    <t>Dr.481</t>
  </si>
  <si>
    <t>Dr.482</t>
  </si>
  <si>
    <t>Dr.483</t>
  </si>
  <si>
    <t>Cr.59</t>
  </si>
  <si>
    <t>Dr.484</t>
  </si>
  <si>
    <t>Dr.485</t>
  </si>
  <si>
    <t>Dr.486</t>
  </si>
  <si>
    <t>Cr.60</t>
  </si>
  <si>
    <t>Dr.487</t>
  </si>
  <si>
    <t>Dr.488</t>
  </si>
  <si>
    <t>Dr.489</t>
  </si>
  <si>
    <t>Dr.490</t>
  </si>
  <si>
    <t>Dr.491</t>
  </si>
  <si>
    <t>Dr.492</t>
  </si>
  <si>
    <t>Dr.493</t>
  </si>
  <si>
    <t>Dr.494</t>
  </si>
  <si>
    <t>Dr.495</t>
  </si>
  <si>
    <t>Dr.496</t>
  </si>
  <si>
    <t>Dr.497</t>
  </si>
  <si>
    <t>Dr.498</t>
  </si>
  <si>
    <t>Dr.499</t>
  </si>
  <si>
    <t>Dr.500</t>
  </si>
  <si>
    <t>Dr.501</t>
  </si>
  <si>
    <t>Dr.502</t>
  </si>
  <si>
    <t>Dr.503</t>
  </si>
  <si>
    <t>Dr.504</t>
  </si>
  <si>
    <t>Dr.505</t>
  </si>
  <si>
    <t>Dr.506</t>
  </si>
  <si>
    <t>Dr.507</t>
  </si>
  <si>
    <t>Dr.508</t>
  </si>
  <si>
    <t>Dr.509</t>
  </si>
  <si>
    <t>Dr.510</t>
  </si>
  <si>
    <t>Dr.511</t>
  </si>
  <si>
    <t>Dr.512</t>
  </si>
  <si>
    <t>Dr.513</t>
  </si>
  <si>
    <t>Dr.514</t>
  </si>
  <si>
    <t>Dr.515</t>
  </si>
  <si>
    <t>Dr.516</t>
  </si>
  <si>
    <t>Dr.517</t>
  </si>
  <si>
    <t>Cr.61</t>
  </si>
  <si>
    <t>Cr.62</t>
  </si>
  <si>
    <t>Dr.518</t>
  </si>
  <si>
    <t>Dr.519</t>
  </si>
  <si>
    <t>Dr.520</t>
  </si>
  <si>
    <t>Cr.63</t>
  </si>
  <si>
    <t>Dr.521</t>
  </si>
  <si>
    <t>Dr.522</t>
  </si>
  <si>
    <t>Dr.523</t>
  </si>
  <si>
    <t>Dr.524</t>
  </si>
  <si>
    <t>Dr.525</t>
  </si>
  <si>
    <t>Dr.526</t>
  </si>
  <si>
    <t>Dr.527</t>
  </si>
  <si>
    <t>Cr.64</t>
  </si>
  <si>
    <t>Dr.528</t>
  </si>
  <si>
    <t>Dr.529</t>
  </si>
  <si>
    <t>Dr.530</t>
  </si>
  <si>
    <t>Dr.531</t>
  </si>
  <si>
    <t>Dr.532</t>
  </si>
  <si>
    <t>Dr.533</t>
  </si>
  <si>
    <t>Dr.534</t>
  </si>
  <si>
    <t>Dr.535</t>
  </si>
  <si>
    <t>Dr.536</t>
  </si>
  <si>
    <t>Cr.65</t>
  </si>
  <si>
    <t>Dr.537</t>
  </si>
  <si>
    <t>Dr.538</t>
  </si>
  <si>
    <t>Dr.539</t>
  </si>
  <si>
    <t>Dr.540</t>
  </si>
  <si>
    <t>Dr.541</t>
  </si>
  <si>
    <t>Dr.542</t>
  </si>
  <si>
    <t>Dr.543</t>
  </si>
  <si>
    <t>Dr.544</t>
  </si>
  <si>
    <t>Dr.545</t>
  </si>
  <si>
    <t>Dr.546</t>
  </si>
  <si>
    <t>Dr.547</t>
  </si>
  <si>
    <t>Dr.548</t>
  </si>
  <si>
    <t>Dr.549</t>
  </si>
  <si>
    <t>Cr.66</t>
  </si>
  <si>
    <t>Dr.550</t>
  </si>
  <si>
    <t>Dr.551</t>
  </si>
  <si>
    <t>Cr.67</t>
  </si>
  <si>
    <t>Dr.552</t>
  </si>
  <si>
    <t>Dr.553</t>
  </si>
  <si>
    <t>Dr.554</t>
  </si>
  <si>
    <t>Dr.555</t>
  </si>
  <si>
    <t>Cr.68</t>
  </si>
  <si>
    <t>Dr.556</t>
  </si>
  <si>
    <t>Dr.557</t>
  </si>
  <si>
    <t>Dr.558</t>
  </si>
  <si>
    <t>Dr.559</t>
  </si>
  <si>
    <t>Dr.560</t>
  </si>
  <si>
    <t>Dr.561</t>
  </si>
  <si>
    <t>Dr.562</t>
  </si>
  <si>
    <t>Dr.563</t>
  </si>
  <si>
    <t>Dr.564</t>
  </si>
  <si>
    <t>Dr.565</t>
  </si>
  <si>
    <t>Dr.566</t>
  </si>
  <si>
    <t>Cr.69</t>
  </si>
  <si>
    <t>Dr.567</t>
  </si>
  <si>
    <t>Dr.568</t>
  </si>
  <si>
    <t>Dr.569</t>
  </si>
  <si>
    <t>Dr.570</t>
  </si>
  <si>
    <t>Dr.571</t>
  </si>
  <si>
    <t>Dr.572</t>
  </si>
  <si>
    <t>Dr.573</t>
  </si>
  <si>
    <t>Dr.574</t>
  </si>
  <si>
    <t>Dr.575</t>
  </si>
  <si>
    <t>Dr.576</t>
  </si>
  <si>
    <t>Cr.70</t>
  </si>
  <si>
    <t>Dr.577</t>
  </si>
  <si>
    <t>Cr.71</t>
  </si>
  <si>
    <t>Dr.578</t>
  </si>
  <si>
    <t>Cr.72</t>
  </si>
  <si>
    <t>Cr.73</t>
  </si>
  <si>
    <t>Cr.74</t>
  </si>
  <si>
    <t>Dr.579</t>
  </si>
  <si>
    <t>Dr.580</t>
  </si>
  <si>
    <t>Dr.581</t>
  </si>
  <si>
    <t>Dr.582</t>
  </si>
  <si>
    <t>Dr.583</t>
  </si>
  <si>
    <t>Dr.584</t>
  </si>
  <si>
    <t>Dr.585</t>
  </si>
  <si>
    <t>Dr.586</t>
  </si>
  <si>
    <t>Cr.75</t>
  </si>
  <si>
    <t>Dr.587</t>
  </si>
  <si>
    <t>Dr.588</t>
  </si>
  <si>
    <t>Dr.589</t>
  </si>
  <si>
    <t>Cr.76</t>
  </si>
  <si>
    <t>Dr.590</t>
  </si>
  <si>
    <t>Dr.591</t>
  </si>
  <si>
    <t>Dr.592</t>
  </si>
  <si>
    <t>Dr.593</t>
  </si>
  <si>
    <t>Dr.594</t>
  </si>
  <si>
    <t>Dr.595</t>
  </si>
  <si>
    <t>Cr.77</t>
  </si>
  <si>
    <t>Dr.596</t>
  </si>
  <si>
    <t>Cr.78</t>
  </si>
  <si>
    <t>Dr.597</t>
  </si>
  <si>
    <t>Dr.598</t>
  </si>
  <si>
    <t>Dr.599</t>
  </si>
  <si>
    <t>Dr.600</t>
  </si>
  <si>
    <t>Dr.601</t>
  </si>
  <si>
    <t>Dr.602</t>
  </si>
  <si>
    <t>Dr.603</t>
  </si>
  <si>
    <t>Dr.604</t>
  </si>
  <si>
    <t>Dr.605</t>
  </si>
  <si>
    <t>Dr.606</t>
  </si>
  <si>
    <t>Bkash Charge For Sending Money of Sahin For Meal Purpose At Rampal Project.</t>
  </si>
  <si>
    <t>Advance to Sahin For Meal Purpose At Rampal Project.By Bkash Via Saber.</t>
  </si>
  <si>
    <t>Corier Charge=Tk.930</t>
  </si>
  <si>
    <t>Repair &amp; Maintenance(Van Repair)=Tk.200</t>
  </si>
  <si>
    <t>Conveyance Expense(Saimul,Arif,Joy,Himel)=Tk.2475</t>
  </si>
  <si>
    <t>Fuel Expense(Octane)=Tk.1000</t>
  </si>
  <si>
    <t>Entertainment Expense(Snack)=Tk.100</t>
  </si>
  <si>
    <t>Site Raw Expense(Cement)=Tk.4100</t>
  </si>
  <si>
    <t>Oxygen &amp; Gas=Tk.5390</t>
  </si>
  <si>
    <t>04.03.2019</t>
  </si>
  <si>
    <t>Advance to Sahin For Meal Purpose At Rampal Project.By DBBLVia Saber A/C.</t>
  </si>
  <si>
    <t>Online Charge For Sending money of Sahin For Meal Purpose At Rampal Project.</t>
  </si>
  <si>
    <t xml:space="preserve"> Pic-Up Rent Purpose(Feb-2019) At Rampal Project.By Agrani Bank A/C Via Harunur Rashid A/C.</t>
  </si>
  <si>
    <t xml:space="preserve"> Pic-Up Rent Purpose(Feb-2019) At Rampal Project.By Bkash Via Haron.</t>
  </si>
  <si>
    <t>05.03.2019</t>
  </si>
  <si>
    <t>Cr.79</t>
  </si>
  <si>
    <t>Cr.80</t>
  </si>
  <si>
    <t>Dr.607</t>
  </si>
  <si>
    <t>Dr.608</t>
  </si>
  <si>
    <t>Dr.609</t>
  </si>
  <si>
    <t>Dr.610</t>
  </si>
  <si>
    <t>Dr.611</t>
  </si>
  <si>
    <t>Dr.612</t>
  </si>
  <si>
    <t>Dr.613</t>
  </si>
  <si>
    <t>Dr.614</t>
  </si>
  <si>
    <t>Dr.615</t>
  </si>
  <si>
    <t>Dr.616</t>
  </si>
  <si>
    <t>Adjustment Abu Taher Advance Amount(Payment to Hridoy &amp; Himel For Site Expense At Rampal Project)Redoy-45000 &amp; Himel-5000</t>
  </si>
  <si>
    <t>06.03.2019</t>
  </si>
  <si>
    <t>Received From Power Mech Projects Limited.(CA-0881557)</t>
  </si>
  <si>
    <t>07.03.2019</t>
  </si>
  <si>
    <t>Online Charge For Sending money of Staff House Rent &amp; Boa Bil At Rampal Project.</t>
  </si>
  <si>
    <t>Advance to Sahin For Staff House Rent &amp; Boa Bill(Feb-19)Purpose At Rampal Project.By DBBLVia Saber A/C.</t>
  </si>
  <si>
    <t>Payment to Maksudol For Wages Purpose At Rampal Project.By Bkash Via Maksudol</t>
  </si>
  <si>
    <t>Bkash Charge For Sending of Maksudol For Wages Purpose At Rampal Project.</t>
  </si>
  <si>
    <t>09.03.2019</t>
  </si>
  <si>
    <t>Adjustment Abu Taher Advance Amount(Advance Amount-9,10,500 Less Bill Amount-8,60,876)Balance=49,624</t>
  </si>
  <si>
    <t>Fuel Expense(Mobil,Petrol,Grease)=Tk.244592</t>
  </si>
  <si>
    <t>Site Raw Expense(Rain Coat,Pipe,Cutting Plunch,Bettery,Electric Items,Rope,Nut Bolt,Pin,Plus,Angel,MCB Socket,Bosh,Dram,Spade,Cutter,Safety Shoes,MS Pipe,Tripol,Hand Gloves,Hydraulic Pipe,Braker,Cable,Nozzel,Wire Rope,Table,Jute,Cabin Glass)=Tk.320915</t>
  </si>
  <si>
    <t>Printing &amp; Stationery(Pad,Fluid,Diary,Calculator)=Tk.670</t>
  </si>
  <si>
    <t>Conveyance(Himel,Sahin,Mir Minto)=Tk.8338</t>
  </si>
  <si>
    <t>Entertainment Expense(Sahin,Bellal,Aziz,Mobile Crane,Crane,Excavator,Drump Truck,Hammer,Cook &amp; Pmpl Electrician)=Tk.36171</t>
  </si>
  <si>
    <t>Hotel Rent=Tk.700</t>
  </si>
  <si>
    <t>Transport Cost(Van Fair,Bus,Truck fare)=Tk.45790</t>
  </si>
  <si>
    <t>Bkash Charge=Tk.300</t>
  </si>
  <si>
    <t>Oxygen &amp; Gas=Tk.2580</t>
  </si>
  <si>
    <t>Maintenance Expense(Matress,Pellow,Bed Sheet,Bucket,Mugh)Tk.8240</t>
  </si>
  <si>
    <t>Fixed Asset(Mud Pump)Tk.15000</t>
  </si>
  <si>
    <t>Low Bed Rent(Hammer)Tk.50000</t>
  </si>
  <si>
    <t>Labour Cost(Security Guard)Tk.4000</t>
  </si>
  <si>
    <t>House Rent(Staff &amp; Labour Shed Rent &amp; Electric Bill)Tk.112580</t>
  </si>
  <si>
    <t>Pic-Up Rent=Tk.9000</t>
  </si>
  <si>
    <t>Bakar=Tk.2000</t>
  </si>
  <si>
    <t>10.03.2019</t>
  </si>
  <si>
    <t>Management Cost(February-2019) to KPL Construction &amp; Developers Ltd.</t>
  </si>
  <si>
    <t>Excavator Rent to KPL Construction &amp; Developers Limited for the month of February-2019 At Rampal Project.(15 DaysX18H)+(13DaysX9.85H)=398H</t>
  </si>
  <si>
    <t>Site Raw Expense(Welding Clip,Socket &amp; Holder),Lock,Gam,Treemi Pipe,Angel,G.I Wire,Light,Steel Tape,Nozel,Grease Gan Nipple,Welding Rod,Bucket,Water Drump,Broom,4"Hose Pipe,Disk,Box,Wood)Tk.182033</t>
  </si>
  <si>
    <t>Conveyance Expense(Toll,Prince, Sayem)=Tk.9244</t>
  </si>
  <si>
    <t>Safety Items(Safety Shoe,Hand Gloves,Safety Vast,Gam Boot)=Tk.11,220</t>
  </si>
  <si>
    <t>Entertainment Expense=(Prince,Sayem,Excavator &amp; Hammer,Pic-Up Driver,Dump Truck)=Tk.34021</t>
  </si>
  <si>
    <t>Conveyance Expense(Prince,Saber,Operetor &amp; Helper,Toll, mustafiz,Subbir,Arif)=Tk.52741</t>
  </si>
  <si>
    <t>Sohel</t>
  </si>
  <si>
    <t>Nor-Alam</t>
  </si>
  <si>
    <t>Sayem</t>
  </si>
  <si>
    <t>Electricity Bill</t>
  </si>
  <si>
    <t>Printing &amp; Stationery(Photocopy,Stationery</t>
  </si>
  <si>
    <t>Pic-up Rent</t>
  </si>
  <si>
    <t>Transportation Cost(Truck Rent of Polymer,Van fair,Container</t>
  </si>
  <si>
    <t>Online Charge(Hridoy A/C.)</t>
  </si>
  <si>
    <t>Dr.617</t>
  </si>
  <si>
    <t>Dr.618</t>
  </si>
  <si>
    <t>Dr.619</t>
  </si>
  <si>
    <t>Dr.620</t>
  </si>
  <si>
    <t>Dr.621</t>
  </si>
  <si>
    <t>Dr.622</t>
  </si>
  <si>
    <t>Dr.623</t>
  </si>
  <si>
    <t>Dr.624</t>
  </si>
  <si>
    <t>Dr.625</t>
  </si>
  <si>
    <t>Dr.626</t>
  </si>
  <si>
    <t>11.03.2019</t>
  </si>
  <si>
    <t>Audit Fee For the Income Year(2017-2018)</t>
  </si>
  <si>
    <t>Salary Expense (For The Month of July-2018)</t>
  </si>
  <si>
    <t>Audit Fee</t>
  </si>
  <si>
    <t>12.03.2019</t>
  </si>
  <si>
    <t>Adjustment of Sea link International (Advance Amount-27,96,050 Less Bill Amount-27,96,050)Balance=Nil</t>
  </si>
  <si>
    <t>Adjustment of Bappy (Advance Amount-18,230 Less Bill Amount-18,230)Balance=Nil</t>
  </si>
  <si>
    <t>Fuel Expense=Tk.27,96,050</t>
  </si>
  <si>
    <t>Entertainment Expense(Meal Purpose)=Tk.10,000</t>
  </si>
  <si>
    <t>Maintenance Expense(Cokaries &amp; Others)=Tk.8,230</t>
  </si>
  <si>
    <t>Salary Expense (Bappy)</t>
  </si>
  <si>
    <t>Adjustment Of Advance Salary :</t>
  </si>
  <si>
    <t>Salary Expense(Abu Taher)</t>
  </si>
  <si>
    <t>Salary Expense(Mahmodul Hasan Joy)</t>
  </si>
  <si>
    <t>Adjustment of Advance Salary:</t>
  </si>
  <si>
    <t>Salary Expense (Mir Minto)</t>
  </si>
  <si>
    <t>Salary Expense (Mahmodul Hasan Joy)</t>
  </si>
  <si>
    <t>Adjustment Of Advance Salary:</t>
  </si>
  <si>
    <t>Dr.627</t>
  </si>
  <si>
    <t>Dr.628</t>
  </si>
  <si>
    <t>Tips(Mamon,Polish</t>
  </si>
  <si>
    <t>Pic-up Rent Received From Rampal Project.</t>
  </si>
  <si>
    <t>Cr.59-A</t>
  </si>
  <si>
    <t>Dr.486-A</t>
  </si>
  <si>
    <t>Adjustment Against Advance Amount Of Sahin(Advance Amount-13,33,974 Less Bill Amount-13,21,945)=Balance-12,029</t>
  </si>
  <si>
    <t>Medical Expense=Tk.5661</t>
  </si>
  <si>
    <t>Advance to Sahin For Hydrolic Oil Of Excavator,Grease,Plain Sheet,Engle,Color,Cement &amp; Petty Cash Purpose At Rampal Project.By DBBL A/C Via Hridoy A/C</t>
  </si>
  <si>
    <t>Rope Wire</t>
  </si>
  <si>
    <t>Adjustment of Anamul Haq Advance (Advance Amount-3,33,500 Less Bill Amount-3,33,500)Balance=Nil</t>
  </si>
  <si>
    <t>Adjustment of Lyra Soluation Limited Advance (Advance Amount-2,20,000 Less Bill Amount-2,20,000)Balance=Nil</t>
  </si>
  <si>
    <t>Adjustment of Bikrumpur Machine Ghar Advance (Advance Amount-2,20,000 Less Bill Amount-2,20,000)Balance=Nil</t>
  </si>
  <si>
    <t>Compressor Machine</t>
  </si>
  <si>
    <t>14.03.2019</t>
  </si>
  <si>
    <t>Received From Power Mech Projects Limited.(CA-0881603)</t>
  </si>
  <si>
    <t>Advance Salary to Engr.Saber</t>
  </si>
  <si>
    <t>Advance to Sahin For Meal Purpose At Rampal Project.By DBBL Via Saber A/C.</t>
  </si>
  <si>
    <t>Air Ticket Bill to Chairman Sir For Visit PMPL Office At India for Rampal Project.</t>
  </si>
  <si>
    <t>Hotel Rent to Chairman Sir For Visit PMPL Office At India for Rampal Project.</t>
  </si>
  <si>
    <t>Salary Expense(Sams Saber)</t>
  </si>
  <si>
    <t>Sams Saber Tk.8000</t>
  </si>
  <si>
    <t>Advance Salary(Bakar,Islam,Aziz,Saber,Monju,Sarowar, Borhan)=Tk.11000</t>
  </si>
  <si>
    <t>Adjustment Advance Salary:</t>
  </si>
  <si>
    <t>Dr.629</t>
  </si>
  <si>
    <t>Dr.630</t>
  </si>
  <si>
    <t>Dr.631</t>
  </si>
  <si>
    <t>Dr.632</t>
  </si>
  <si>
    <t>Dr.633</t>
  </si>
  <si>
    <t>18.03.2019</t>
  </si>
  <si>
    <t>Adjustment Prince Advance Amount(Advance Amount-3000  Less Bill Amount-6312)Due Balance=3312 is paid.</t>
  </si>
  <si>
    <t>Conveyance Expense=Tk.1156</t>
  </si>
  <si>
    <t>Entertainment Expense=Tk.4200</t>
  </si>
  <si>
    <t>Printing &amp; Stationery=Tk.876</t>
  </si>
  <si>
    <t>Misce.Expense=Tk.80</t>
  </si>
  <si>
    <t>Dr.634</t>
  </si>
  <si>
    <t>Conveyance to Bappy For Rampal Project Purpose.</t>
  </si>
  <si>
    <t>Dr.635</t>
  </si>
  <si>
    <t>Salary Expese for the month of February-2019(Nizam,Md.Billal,Billal Khan Rubel,Mir Minto &amp; Shariful Islam)</t>
  </si>
  <si>
    <t>Dr.636</t>
  </si>
  <si>
    <t>Conveyance to Imran For Goning to Bank For Salary Purpose (Office to MBL to Office)</t>
  </si>
  <si>
    <t>Dr.637</t>
  </si>
  <si>
    <t>19.03.2019</t>
  </si>
  <si>
    <t>Conveyance to Imran For Goning to IBBL For Sea link International Deposit Voucher Purpose (Office to IBBL to Office)By Rickshaw</t>
  </si>
  <si>
    <t>Deposit to Sonali Bank For Tax Deducted  At Source(TDS) (July-2017 to June-2018)Of Office Rent</t>
  </si>
  <si>
    <t>TDS</t>
  </si>
  <si>
    <t>Salary For The Month Of February-2019 From MBL A/C.By Cash Cheque.(CA:4435247)</t>
  </si>
  <si>
    <t>Dr.638</t>
  </si>
  <si>
    <t>Dr.639</t>
  </si>
  <si>
    <t>Dr.640</t>
  </si>
  <si>
    <t>Nur Alam-1500</t>
  </si>
  <si>
    <t>Borhan-1000</t>
  </si>
  <si>
    <t>Hotel Rent=Tk.400</t>
  </si>
  <si>
    <t>Salary Expense(Joy-2500,Sarowar-500,Islam-2517,Sahin-604 &amp; Saber-147)=Tk.6268</t>
  </si>
  <si>
    <t>Bkash Charge For sending Money of  House rent for the month of February-2019 At Rampal Project.</t>
  </si>
  <si>
    <t>House Rent for the month of February-2019 At Rampal Project.(Operator House)</t>
  </si>
  <si>
    <t>20.03.2019</t>
  </si>
  <si>
    <t>Dr.641</t>
  </si>
  <si>
    <t>Dr.642</t>
  </si>
  <si>
    <t>Adjustment of T.M Enterprise Advance (Advance Amount-1,85,000 Less Bill Amount-1,85,000)Balance=Nil</t>
  </si>
  <si>
    <t>Container( Fixed Asset)=Tk.185000</t>
  </si>
  <si>
    <t xml:space="preserve"> Piling Casting</t>
  </si>
  <si>
    <t>Fabrication Cost</t>
  </si>
  <si>
    <t>Container</t>
  </si>
  <si>
    <t>Adjustment of Monowar Enterprise Advance (Advance Amount-15,33,000 Less Bill Amount-15,33,000)Balance=Nil</t>
  </si>
  <si>
    <t>Fabrication Cost=Tk.15,33,000</t>
  </si>
  <si>
    <t>Fuel Expense=Tk.23,31,000</t>
  </si>
  <si>
    <t>Adjustment of Mia Bazar Filling Station Advance (Advance Amount-23,31,000 Less Bill Amount-23,31,000)Balance=Nil</t>
  </si>
  <si>
    <t>Pic-Up Rent Expense=Tk.2,000</t>
  </si>
  <si>
    <t>Adjustment of Pic-Up Rent Advance (Advance Amount-2,000 Less Bill Amount-2,000)Balance=Nil</t>
  </si>
  <si>
    <t>Adjustment of Mafuja Traders Advance (Advance Amount-17,97,500 Less Bill Amount-17,97,500)Balance=Nil</t>
  </si>
  <si>
    <t>Polymer Expense=Tk.17,97,500</t>
  </si>
  <si>
    <t>Adjustment of Mafuja Traders Advance (Advance Amount-26,96,950 Less Bill Amount-26,96,950)Balance=Nil</t>
  </si>
  <si>
    <t>Polymer Expense=Tk.26,96,950</t>
  </si>
  <si>
    <t>Abu Bakar(500+2000+5000)=Tk.7500</t>
  </si>
  <si>
    <t>Islam(1000+1000+1000)Tk.3000</t>
  </si>
  <si>
    <t>Monjurul(1000+500)Tk.1500</t>
  </si>
  <si>
    <t>Sohel Mia(2000+9000+2000)Tk.13000</t>
  </si>
  <si>
    <t>Sarwar(5000+500+3000)Tk.8500</t>
  </si>
  <si>
    <t>Nor Alam(500+2000+500+4000)Tk.7000</t>
  </si>
  <si>
    <t>Sayem(1500)</t>
  </si>
  <si>
    <t>Borhan(2500)</t>
  </si>
  <si>
    <t>Salary Expense=Tk.19,500</t>
  </si>
  <si>
    <t>Adjustment Advance Salary Of Bakar:</t>
  </si>
  <si>
    <t>Adjustment of Advance Salary:(Sahin)</t>
  </si>
  <si>
    <t>Salary Expense=Tk.4000</t>
  </si>
  <si>
    <t>Adjustment of Advance Salary:Saber</t>
  </si>
  <si>
    <t>Adjustment of Advance Salary:Azizul Haq</t>
  </si>
  <si>
    <t>Salary Expense=Tk.6500</t>
  </si>
  <si>
    <t>Salary Expense=Tk.30000</t>
  </si>
  <si>
    <t>Transport Cost=Tk.2830</t>
  </si>
  <si>
    <t>Electricity Bill=Tk.822</t>
  </si>
  <si>
    <t>Medical Expense=Tk.645</t>
  </si>
  <si>
    <t>Maintenance Expense=Tk.2470</t>
  </si>
  <si>
    <t>Pic-Up Rent=Tk.39500</t>
  </si>
  <si>
    <t>Cook Salary=Tk.6100</t>
  </si>
  <si>
    <t>House Rent=Tk.32000</t>
  </si>
  <si>
    <t>Water Bll=Tk.3210</t>
  </si>
  <si>
    <t>Fuel Expense=Tk.36730</t>
  </si>
  <si>
    <t>Repair &amp; Maintenance=Tk.26200</t>
  </si>
  <si>
    <t>Site Raw Expense=Tk.148552</t>
  </si>
  <si>
    <t>Printing &amp; Stationery=Tk.610</t>
  </si>
  <si>
    <t>Labor Cost=Tk.14660</t>
  </si>
  <si>
    <t>Entertainment Expense=Tk.54315</t>
  </si>
  <si>
    <t>Conveyance Expense=Tk.14913</t>
  </si>
  <si>
    <t>Tips=Tk.6150</t>
  </si>
  <si>
    <t>Oxygen &amp; Gas =Tk.26515</t>
  </si>
  <si>
    <t>Corier Charge=Tk.4150</t>
  </si>
  <si>
    <t>Advance Salary:Tk.2500</t>
  </si>
  <si>
    <t>Adjustment Against Advance Amount Of Sahin(Advance Amount-4,50,029 Less Bill Amount-4,29,540)=Balance-20,489</t>
  </si>
  <si>
    <t>Tripod &amp; Trimee Pipe(Asset)</t>
  </si>
  <si>
    <t>Ekota Piling</t>
  </si>
  <si>
    <t>Adjustment of Ekota Piling (Advance Amount-4,13,600 Less Bill Amount-4,13,600)Balance=Nil</t>
  </si>
  <si>
    <t>Trimee Pipe &amp; Tripod(Asset)=Tk.4,13,600</t>
  </si>
  <si>
    <t>Adjustment of Kamal Uddin Iron Store Advance (Advance Amount-2,83,644 Less Bill Amount-2,63,444)Balance=Tk.20,200</t>
  </si>
  <si>
    <t>Rope Wire=Tk.2,63,444</t>
  </si>
  <si>
    <t>Rope Wire=Tk.2,20,000</t>
  </si>
  <si>
    <t>23.03.2019</t>
  </si>
  <si>
    <t xml:space="preserve">Advance to Tarif Engineering Services For Piling Casting At Rampal Project By Cash Via Haron </t>
  </si>
  <si>
    <t>Dr.643</t>
  </si>
  <si>
    <t>Adjustment of Aroj Ali &amp; Co. Advance (Advance Amount-8,06,000Less Bill Amount-8,06,000)Balance=Nil</t>
  </si>
  <si>
    <t>Fuel Expense=Tk.8,06,000</t>
  </si>
  <si>
    <t>Adjustment Against Advance Amount Of Sahin(Advance Amount-3,01,059 Less Bill Amount-)=Balance-</t>
  </si>
  <si>
    <t>Granding Machine</t>
  </si>
  <si>
    <t>Shehab</t>
  </si>
  <si>
    <t>Conveyance Expense=Tk.13,111</t>
  </si>
  <si>
    <t>Entertainment Expense=Tk.83,117</t>
  </si>
  <si>
    <t>Tips=Tk.4,160</t>
  </si>
  <si>
    <t>Site Raw Expense=Tk.12,322</t>
  </si>
  <si>
    <t>Fuel Expense=Tk.8070</t>
  </si>
  <si>
    <t>Granding Machine=Tk.4,500</t>
  </si>
  <si>
    <t>Repair &amp; Maintenance=Tk.22,200</t>
  </si>
  <si>
    <t>Printing &amp; Stationery=Tk.210</t>
  </si>
  <si>
    <t>Cook Salary=Tk.22,500</t>
  </si>
  <si>
    <t>Oxygen &amp; Gas=Tk.16,300</t>
  </si>
  <si>
    <t>Water Bill=Tk.6,800</t>
  </si>
  <si>
    <t>Labour Cost=Tk.11,400</t>
  </si>
  <si>
    <t>House Rent=Tk.65,460</t>
  </si>
  <si>
    <t>Pic-Up Rent=Tk.4,500</t>
  </si>
  <si>
    <t>Saber=Tk.2,000</t>
  </si>
  <si>
    <t>Shehab=Tk.500</t>
  </si>
  <si>
    <t>Bakar=Tk.1000</t>
  </si>
  <si>
    <t>Courier Charge=Tk.150</t>
  </si>
  <si>
    <t>Medical Expense=Tk.555</t>
  </si>
  <si>
    <t>Adjustment Advance Salary :</t>
  </si>
  <si>
    <t>Abu Taher=Tk.20,000</t>
  </si>
  <si>
    <t>Saber=Tk.5000</t>
  </si>
  <si>
    <t>25.03.2019</t>
  </si>
  <si>
    <t>Inter Trancation (Cash transation to KPL from KAIS)</t>
  </si>
  <si>
    <t>Intertraction KPL</t>
  </si>
  <si>
    <t>Ikhtear Sir(Nil)</t>
  </si>
  <si>
    <t>27.03.2019</t>
  </si>
  <si>
    <t>Advance deduction salary paid for the month of Feb-2019 Rampal project (food allownace deduction paid)</t>
  </si>
  <si>
    <t>(Adjustment previous period) Bank Charge, EPG Service Charge, VAT banking Charge, Solvency &amp; Statement Charge, Documents fee,Maintainance fee, Online Service Charge, SMS Alert Charge, Excise Duty, Bach Charge, Cheque Issue Charge</t>
  </si>
  <si>
    <t>Dr.01</t>
  </si>
  <si>
    <t>Dr.644</t>
  </si>
  <si>
    <t>28.03.2019</t>
  </si>
  <si>
    <t>Loan Payment to Kibria Sir By A/C Payee Cheque.(CA-4435249)</t>
  </si>
  <si>
    <t xml:space="preserve">Advance Water &amp; Petrol (Rample) </t>
  </si>
  <si>
    <t>31.03.2019</t>
  </si>
  <si>
    <t>Echange Limited for Hammer,Excavator,Dram Truck Rent Purpose 9 Equipment Rent (CA-4435250)</t>
  </si>
  <si>
    <t>01.04.2019</t>
  </si>
  <si>
    <t>30.04.2019</t>
  </si>
  <si>
    <t>Dr.645</t>
  </si>
  <si>
    <t xml:space="preserve">Mobile Bill(April-2019) Official Purpose (Afzal Sir &amp; Ikhtear Sir) </t>
  </si>
  <si>
    <t>07.04.2019</t>
  </si>
  <si>
    <t>Cash Salary Paid to Masudul Haque ( Office Assistant) for the motth of March-19</t>
  </si>
  <si>
    <t>Inter Trancation (Cash loan payment from  KPL to KAIS)</t>
  </si>
  <si>
    <t>11.04.2019</t>
  </si>
  <si>
    <t>Loan recover from (A ONE Construction &amp; Logistic- Afzal Sir where loan given by MBL cheque 500,000 and recover into Cash 200,000 due 300,000)</t>
  </si>
  <si>
    <t>Yard Rent(March &amp; April -2019) Juhora Motors</t>
  </si>
  <si>
    <t>Honorarium &amp; Remuneration to Ikhtear Sir For the month of March-2019(Honorarium-50,000 &amp; Remuneration-50,000 Per month)</t>
  </si>
  <si>
    <t>Grime bill 400</t>
  </si>
  <si>
    <t>Water bill 500</t>
  </si>
  <si>
    <t>Electricity bill 685</t>
  </si>
  <si>
    <t>Petrol 1000</t>
  </si>
  <si>
    <t>Cooking bill/ buya bill 10000</t>
  </si>
  <si>
    <t>house rent / Tenement 9000</t>
  </si>
  <si>
    <t>20.04.2019</t>
  </si>
  <si>
    <t>Tour &amp; Travel ( Afzal sir &amp; Ikhtear sir) Jashore to Dhala for VAT office and Rampal project visit</t>
  </si>
  <si>
    <t>Accommodation and Entertainment (Afzal sir &amp; Ikhtear sir) for VAT office and Rampal project visit</t>
  </si>
  <si>
    <t>21.04.2019</t>
  </si>
  <si>
    <t>Cash Withdraw From MBL(CA-5534401)For Supplier Payment &amp; Petty Cash Purpose.</t>
  </si>
  <si>
    <t>Cash Withdraw From MBL(CA-5534403)For Supplier Payment &amp; Petty Cash Purpose.</t>
  </si>
  <si>
    <t>Salary For The Month Of March-2019 From MBL A/C.By Cash Cheque.(CA:5534402)</t>
  </si>
  <si>
    <t>Management Cost(March-2019) to KPL Construction &amp; Developers Ltd.</t>
  </si>
  <si>
    <t xml:space="preserve">Salary Expese for the month of March-2019(Nizam,Md.Billal,Billal Khan Rubel,Mir Minto &amp; Shariful Islam) </t>
  </si>
  <si>
    <t>House Rent for the month of March-2019 At Rampal Project.(Operator House)</t>
  </si>
  <si>
    <t xml:space="preserve">Revenue </t>
  </si>
  <si>
    <t xml:space="preserve">ICON </t>
  </si>
  <si>
    <t>24.04.2019</t>
  </si>
  <si>
    <t>Icon Engineering Serivce (Rig Machine rent )</t>
  </si>
  <si>
    <t>25.04.2019</t>
  </si>
  <si>
    <t>28.04.2019</t>
  </si>
  <si>
    <t>Conveyance ( Burhan, Azim,Bockor, sayem, Sohel, Sofif) for Rampal Project 360</t>
  </si>
  <si>
    <t>Conveyance ( Burhan, Azim, Sohel, Sofif) for Rampal Project 240</t>
  </si>
  <si>
    <t>Conveyance ( Sabar) for Rampal Project 240</t>
  </si>
  <si>
    <t>Conveyance ( Burhan, Azim, Sohel, Sofif) for Rampal Project 180</t>
  </si>
  <si>
    <t>Tips for Crane Paid by Sabar for Rampal Project 1000</t>
  </si>
  <si>
    <t>Petrol, Mobil &amp; Servicing (344 + 500+390+100) 1344</t>
  </si>
  <si>
    <t xml:space="preserve">Track Rent </t>
  </si>
  <si>
    <t>Low Bed Rent (form RAMPAL to Dhaka)</t>
  </si>
  <si>
    <t>High Bed Rent (form RAMPAL to Dhaka)</t>
  </si>
  <si>
    <t>Octan (Afzal sir &amp; Ikhtear sir) for VAT office and Rampal project visit</t>
  </si>
  <si>
    <t>Transport by Bus (Afzal sir &amp; Ikhtear sir) for VAT office and Rampal project visit</t>
  </si>
  <si>
    <t xml:space="preserve">Toll Expenses </t>
  </si>
  <si>
    <t xml:space="preserve">Driver Tips </t>
  </si>
  <si>
    <t>Advance to Track rent (for Rampal Project) pay to Prince</t>
  </si>
  <si>
    <t>29.04.2019</t>
  </si>
  <si>
    <t xml:space="preserve"> Salary Expese for the month of March-2019 (Sayem Ahmed  Electrician Helper)</t>
  </si>
  <si>
    <t>Inter Trancation (Cash transation to KPL from KAIS) 250000</t>
  </si>
  <si>
    <t xml:space="preserve"> Low Bed Rent (form RAMPAL to Dhaka) Abu Syed sir for Rid Machine rent &amp; Truck rent purpose </t>
  </si>
  <si>
    <t>Inter Trancation (Cash loan payment from  KPL to KAIS) 150000+250000</t>
  </si>
  <si>
    <t>Excavator Rent to KPL Construction &amp; Developers Limited for the month of March-2019 At Rampal Project paid to Chairman Sir</t>
  </si>
  <si>
    <t xml:space="preserve">Pay to Billal for truck sand required in spot of Jumuna Bridge </t>
  </si>
  <si>
    <t>Conveyance to Prince 200</t>
  </si>
  <si>
    <t>Low Bed Rent (form RAMPAL to Dhaka) Deposit to UCBL A/C (Feni Carrier service) 0492101000002596</t>
  </si>
  <si>
    <t>High Bed Rent (form RAMPAL to Dhaka) Deposit to UCBL A/C (Mim Mitu Enterprise 0492101000005914)</t>
  </si>
  <si>
    <t xml:space="preserve">Bank Service Charge </t>
  </si>
  <si>
    <t xml:space="preserve">Entertainment - Prince (Site Visit ) </t>
  </si>
  <si>
    <t xml:space="preserve">Octan Prince for sile visit </t>
  </si>
  <si>
    <t>Row Materils (Thick Polythine Cotton)</t>
  </si>
  <si>
    <t xml:space="preserve">Advance to Prince </t>
  </si>
  <si>
    <t>Ikhtear Sir(333,400)</t>
  </si>
  <si>
    <t xml:space="preserve">Track rent </t>
  </si>
  <si>
    <t xml:space="preserve">Labour rent </t>
  </si>
  <si>
    <t>Bkash charge</t>
  </si>
  <si>
    <t xml:space="preserve">Advance to Track rent (for Rampal Project) pay to Prince High bed </t>
  </si>
  <si>
    <t>02.05.2019</t>
  </si>
  <si>
    <t>30.05.2019</t>
  </si>
  <si>
    <t>Honorarium &amp; Remuneration to Ikhtear Sir For the month of April-2019(Honorarium-50,000 &amp; Remuneration-50,000 Per month)</t>
  </si>
  <si>
    <t>Pay to Abu Tahar (Security Tips 1500 + Conveyance 1690 + Food cost 660 + Repair 300)</t>
  </si>
  <si>
    <t>Intertransaction from KPL</t>
  </si>
  <si>
    <t>Advance pay to Prince (Compound oil, Jute )</t>
  </si>
  <si>
    <t>Mobile Bill (Feb-March-19- Abu Tahar)</t>
  </si>
  <si>
    <t>07.05.2019</t>
  </si>
  <si>
    <t xml:space="preserve">Entertaintent for Ballel, sharif and Borhan </t>
  </si>
  <si>
    <t>08.05.2019</t>
  </si>
  <si>
    <t>Inter Trancation (Cash transation to KPL from KAIS) 35000</t>
  </si>
  <si>
    <t>11.05.2019</t>
  </si>
  <si>
    <t>Inter Trancation (Cash transation to KPL from KAIS) 16000</t>
  </si>
  <si>
    <t>Pay to Abu Tahar (Crane Tips 3240 + Ifter 2500 + Disel 2265)</t>
  </si>
  <si>
    <t>13.05.2019</t>
  </si>
  <si>
    <t>Grime bill 300</t>
  </si>
  <si>
    <t>Water bill 300</t>
  </si>
  <si>
    <t>Electricity bill 1120</t>
  </si>
  <si>
    <t>Petrol 1000 (Sabar) 26.04.19 BDT 1000</t>
  </si>
  <si>
    <t xml:space="preserve">Sabar  Hotel Rent (MRT Project) 1100 </t>
  </si>
  <si>
    <t>Sabar  Transport  (MRT Project)  640</t>
  </si>
  <si>
    <t>Sabar - Tips for Cran (MRT Project) 500</t>
  </si>
  <si>
    <t>Sabar  Entertainment Food  (MRT Project) 750</t>
  </si>
  <si>
    <t>Sabar - Site Materials -WD 40 (MRT Project) 280</t>
  </si>
  <si>
    <t xml:space="preserve">MRT Project </t>
  </si>
  <si>
    <t>Transport</t>
  </si>
  <si>
    <t xml:space="preserve">Tips </t>
  </si>
  <si>
    <t>Site Materials</t>
  </si>
  <si>
    <t xml:space="preserve">Entertainment </t>
  </si>
  <si>
    <t>Mis. Expenses</t>
  </si>
  <si>
    <t xml:space="preserve">Online Charge </t>
  </si>
  <si>
    <t>Online/ Bkash Charge</t>
  </si>
  <si>
    <t>Ifter</t>
  </si>
  <si>
    <t>Inter Trancation (Cash transation to KPL from KAIS) 13000</t>
  </si>
  <si>
    <t xml:space="preserve">MRT Project Purpose ( Rig Machine Sticker fitting ) </t>
  </si>
  <si>
    <t>Rig Machine Sticker</t>
  </si>
  <si>
    <t>Fuel (MRT Project)</t>
  </si>
  <si>
    <t>Fuel</t>
  </si>
  <si>
    <t>14.05.2019</t>
  </si>
  <si>
    <t>Pick up rent for Rib Machine 32 mm Rope pay to Sabar</t>
  </si>
  <si>
    <t xml:space="preserve">Pick up rent </t>
  </si>
  <si>
    <t>15.05.2019</t>
  </si>
  <si>
    <t>Salary For The Month Of April-2019 From MBL A/C.By Cash Cheque.(CA:5534403)</t>
  </si>
  <si>
    <t>Fuel Cost -Clients Visit to Maowa -Chairman Sir</t>
  </si>
  <si>
    <t xml:space="preserve">Entertaintent Clients- </t>
  </si>
  <si>
    <t>Speed Board fare (Clients Visit to Maowa -Chairman sir) (450 X 2)</t>
  </si>
  <si>
    <t>Salary For The Month Of April-2019 -Cash Shariful Islam-Welder</t>
  </si>
  <si>
    <t>16.05.2019</t>
  </si>
  <si>
    <t>Salary For The Month Of April-2019 -Cash Monzurul-Supervisor</t>
  </si>
  <si>
    <t xml:space="preserve">Hydrolic Oil </t>
  </si>
  <si>
    <t>Inter Trancation (Cash transation to KPL from KAIS) 10300</t>
  </si>
  <si>
    <t xml:space="preserve">Compound oil, Jute </t>
  </si>
  <si>
    <t xml:space="preserve">Bank Charge </t>
  </si>
  <si>
    <t>18.05.2019</t>
  </si>
  <si>
    <t>Hydrolic Oil Purchase for MRT Project- 40 Lit.</t>
  </si>
  <si>
    <t>Conveyance to Prince &amp; welder Shorif</t>
  </si>
  <si>
    <t>Conveyance</t>
  </si>
  <si>
    <t>Crane Rent</t>
  </si>
  <si>
    <t xml:space="preserve">Crane rent </t>
  </si>
  <si>
    <t>19.05.2019</t>
  </si>
  <si>
    <t>Cash Withdraw From MBL(CA-5534404)For Supplier Payment &amp; Petty Cash Purpose.</t>
  </si>
  <si>
    <t>Demobilization cost (3 High bed, 2 low bed, 2 Track from Rampal to Dhaka Asulia)</t>
  </si>
  <si>
    <t xml:space="preserve">Bank Service charge </t>
  </si>
  <si>
    <t>20.05.2019</t>
  </si>
  <si>
    <t>Cash salary paid to Kamal Hossia 15 days for the month of April 19 ( amount paid to DBBL A/C Taher bhai)</t>
  </si>
  <si>
    <t xml:space="preserve">Low Bed Rent (form RAMPAL to Dhaka) Deposit to IBL A/C (SBBA-1408) MRT project </t>
  </si>
  <si>
    <t xml:space="preserve">Low Bed Rent </t>
  </si>
  <si>
    <t xml:space="preserve">Courier document send to Khulna </t>
  </si>
  <si>
    <t>21.05.2019</t>
  </si>
  <si>
    <t>Cash Withdraw From MBL(CA-5534405)For Supplier Payment &amp; Petty Cash Purpose.</t>
  </si>
  <si>
    <t xml:space="preserve">Rib Machine Wear Roof purchase from Lyra Solution Ltd (Pay to Standard Bank) for MRT Project </t>
  </si>
  <si>
    <t>Rib Wear Roof</t>
  </si>
  <si>
    <t>Delivery Charge</t>
  </si>
  <si>
    <t xml:space="preserve">Low Bed Rent pay to Mim Mitu Enterprise UCB A/C  Rampal Project </t>
  </si>
  <si>
    <t>Rib Machine Wear Rope delivery Charge for MRT Project and Transcost pay to sabar</t>
  </si>
  <si>
    <t>22.05.2019</t>
  </si>
  <si>
    <t>Low Bed Rent pay to cash via MD sir Johura Motors and Transport for Rampal Project crane rent</t>
  </si>
  <si>
    <t>Low Bed Rent pay to cash via DBBL Johura Motors and Transport for Rampal Project crane rent</t>
  </si>
  <si>
    <t>23.05.2019</t>
  </si>
  <si>
    <t xml:space="preserve">Repair &amp; Maintainance for Asulia yard purpose </t>
  </si>
  <si>
    <t xml:space="preserve">Low Bed &amp; high bed Rent pay to Mim Mitu Enterprise UCB A/C  Rampal Project </t>
  </si>
  <si>
    <t>Disel for Asulia Yard purpose pay to shahin</t>
  </si>
  <si>
    <t xml:space="preserve">Repair &amp; Maintainance </t>
  </si>
  <si>
    <t xml:space="preserve">Crane Rent </t>
  </si>
  <si>
    <t>Inter Trancation (Cash transation to KPL from KAIS) 121000</t>
  </si>
  <si>
    <t>Inter Trancation (Cash transation to KAIS  from KPL ) 121000</t>
  </si>
  <si>
    <t>Inter Trancation (Cash transation to KPL from KAIS) 10200</t>
  </si>
  <si>
    <t xml:space="preserve">Pay to Abu Taher bhai for due bill (18590-10000) </t>
  </si>
  <si>
    <t>27.05.2019</t>
  </si>
  <si>
    <t xml:space="preserve">Rampal visit cost : </t>
  </si>
  <si>
    <t>Entainment food 1305</t>
  </si>
  <si>
    <t>Accommodation cost 2600</t>
  </si>
  <si>
    <t xml:space="preserve">Transport 500 </t>
  </si>
  <si>
    <t>Miscellaneous 500</t>
  </si>
  <si>
    <t>Yard rent to Johura motors A/C DBBL for the month of (16000+8000) for the month of May-19</t>
  </si>
  <si>
    <t xml:space="preserve">Courier charge documents received from CTG </t>
  </si>
  <si>
    <t xml:space="preserve">Courier bill </t>
  </si>
  <si>
    <t>Conveyance to Liton and Hridoy</t>
  </si>
  <si>
    <t xml:space="preserve">Entertainment food </t>
  </si>
  <si>
    <t>28.05.2019</t>
  </si>
  <si>
    <t xml:space="preserve">Wire clum Purchase paid to Sakib enterprise via Bkash for MRT Project </t>
  </si>
  <si>
    <t xml:space="preserve">Advance pay to Prince MRT Project: </t>
  </si>
  <si>
    <t>Conveyance to Prince 1010</t>
  </si>
  <si>
    <t>Bkash online charge 80</t>
  </si>
  <si>
    <t>Repair &amp; Maintainance MRT 300</t>
  </si>
  <si>
    <t>Materials (U Clamp ,Jute and hand glaves etc) 8190</t>
  </si>
  <si>
    <t>Entertainment 200</t>
  </si>
  <si>
    <t xml:space="preserve">Ifter 150 </t>
  </si>
  <si>
    <t>Pick up rent 2000</t>
  </si>
  <si>
    <t>Labour tips 200</t>
  </si>
  <si>
    <t>Mobil for Bike repair and maintainance 400</t>
  </si>
  <si>
    <t>29.05.2019</t>
  </si>
  <si>
    <t>Conveyance pay to Najim Rampal project</t>
  </si>
  <si>
    <t xml:space="preserve">Advance to Tarif Engineering Services For Piling Casting At Rampal Project Via Cash </t>
  </si>
  <si>
    <t xml:space="preserve">Rib Machine fan purchase </t>
  </si>
  <si>
    <t xml:space="preserve">Conveyance to Prince </t>
  </si>
  <si>
    <t xml:space="preserve">Entertainment site MRT Project </t>
  </si>
  <si>
    <t>Inter Trancation (Cash transation to  KAIS from KPL )</t>
  </si>
  <si>
    <t>Conveyance (Mintu, Billal, Sabar, Burhan) MRT Project</t>
  </si>
  <si>
    <t>Cash salary for Shariful Islam  Welder 10700 (after food adjustment) for the month of May -19</t>
  </si>
  <si>
    <t xml:space="preserve">Salary </t>
  </si>
  <si>
    <t>01.06.2019</t>
  </si>
  <si>
    <t>01.06.19</t>
  </si>
  <si>
    <t>Ifter (22 days X 50) 2 person Joy and Abu tahar  &amp; Conveyance 445</t>
  </si>
  <si>
    <t xml:space="preserve">Bkash Charge </t>
  </si>
  <si>
    <t>Cash Received from ICON 1000000 MRT Project</t>
  </si>
  <si>
    <t>Received from MRT ICON</t>
  </si>
  <si>
    <t>Inter Trancation (Cash transation to  KPL from KAIS )</t>
  </si>
  <si>
    <t>Conveyance pay to Sayem &amp;  Bokkor Rampal project 550 +513</t>
  </si>
  <si>
    <t>Ikhtear Sir(246000)</t>
  </si>
  <si>
    <t xml:space="preserve">Mobile Bill(June-2019) Official Purpose (Afzal Sir &amp; Ikhtear Sir) </t>
  </si>
  <si>
    <t>13.06.19</t>
  </si>
  <si>
    <t>Hydrolic oil (100 @ 165)</t>
  </si>
  <si>
    <t xml:space="preserve">Drump </t>
  </si>
  <si>
    <t xml:space="preserve">Conveyance </t>
  </si>
  <si>
    <t>Advance pay to sabar</t>
  </si>
  <si>
    <t>17.06.19</t>
  </si>
  <si>
    <t xml:space="preserve">Yeard Rent for the month of June-19 pay to Johora Motors Via DBBL A/C </t>
  </si>
  <si>
    <t>Inter Trancation (Received from KPL )</t>
  </si>
  <si>
    <t xml:space="preserve">Inter Trancation (Pay to KAIS) </t>
  </si>
  <si>
    <t>18.06.19</t>
  </si>
  <si>
    <t xml:space="preserve">Water &amp; Service Charge </t>
  </si>
  <si>
    <t xml:space="preserve">Electricity bill </t>
  </si>
  <si>
    <t>House Rent for the month of May -19</t>
  </si>
  <si>
    <t>Sariful Islam Welder salary for the month of May-19 via Mahidul A/C</t>
  </si>
  <si>
    <t>Online Bank Charge</t>
  </si>
  <si>
    <t>Honorarium &amp; Remuneration to Ikhtear Sir For the month of May-2019(Honorarium-50,000 &amp; Remuneration-50,000 Per month)</t>
  </si>
  <si>
    <t>22.06.19</t>
  </si>
  <si>
    <t>Management Cost(May-2019) to KPL Construction &amp; Developers Ltd.</t>
  </si>
  <si>
    <t>23.06.19</t>
  </si>
  <si>
    <t>Advance  to Echange Limited For Excavator,Hammer &amp; Dump Truck Rent Purpose At Rampal Project.By UCB A/C.(072-1101-000002102)</t>
  </si>
  <si>
    <t>25.06.19</t>
  </si>
  <si>
    <t>Salary adjustment with food cost ( Nizam Uddin, Md Shahin Alam, Md Sayem Ahmed, Md Abu Bokkr, Md Shohel Mia &amp; Shariful Islam)</t>
  </si>
  <si>
    <t>26.06.19</t>
  </si>
  <si>
    <t>House rent for the month of May -19 (Pay to Mintu bhai Rig Operator)</t>
  </si>
  <si>
    <t>02.07.19</t>
  </si>
  <si>
    <t>Inter Trancation (Pay to KAIS)….Received from KPL</t>
  </si>
  <si>
    <t>Inter Trancation (Recived from KPL)</t>
  </si>
  <si>
    <t>Management Cost(June-2019) to KPL Construction &amp; Developers Ltd.</t>
  </si>
  <si>
    <t>Honorarium &amp; Remuneration to Ikhtear Sir For the month of June-2019(Honorarium-50,000 &amp; Remuneration-50,000 Per month)</t>
  </si>
  <si>
    <t>Rig Machine Mobil for (40Liter@ 310)</t>
  </si>
  <si>
    <t>Rig Machine Oil</t>
  </si>
  <si>
    <t xml:space="preserve">Advance to Burhan for coneyance purpose </t>
  </si>
  <si>
    <t>04.07.19</t>
  </si>
  <si>
    <t xml:space="preserve">Mobile Bill(July-2019) Official Purpose (Afzal Sir &amp; Ikhtear Sir) </t>
  </si>
  <si>
    <t xml:space="preserve">Conveyance to Prince for MRT Project </t>
  </si>
  <si>
    <t>08.07.19</t>
  </si>
  <si>
    <t xml:space="preserve">Advance pay to Tahar bhai for Rampal visit (House rent &amp; others cost) </t>
  </si>
  <si>
    <t>11.07.19</t>
  </si>
  <si>
    <t xml:space="preserve">Pickup Rent (Rampal to Dhaka) </t>
  </si>
  <si>
    <t xml:space="preserve">Labour Cost </t>
  </si>
  <si>
    <t>14.07.19</t>
  </si>
  <si>
    <t>Pay to yard Rent for  the month of July-19 38000 and Repair &amp; Maintainance 2550 Total 40550</t>
  </si>
  <si>
    <t>Entertainment Food to Seyem (Khulna to Dhaka ) 200</t>
  </si>
  <si>
    <t>Salary and bonus For The Month Of May-2019 From MBL A/C.By Cash Cheque.(CA-5534406)</t>
  </si>
  <si>
    <t>31.07.2019</t>
  </si>
  <si>
    <t>15.07.2019</t>
  </si>
  <si>
    <t>Salary For The Month Of June-2019 From MBL A/C.By Cash Cheque.(CA-5534409)</t>
  </si>
  <si>
    <t>Salary For The Month Of May-2019 From MBL A/C.By Cash Cheque.(CA-5534408)</t>
  </si>
  <si>
    <t>15.07.19</t>
  </si>
  <si>
    <t>Conveyance to Joy</t>
  </si>
  <si>
    <t>Pay to Prince for 1 low bed and 2 High bed cost for Rig machine shifting purpose</t>
  </si>
  <si>
    <t>16.07.19</t>
  </si>
  <si>
    <t xml:space="preserve">Cash salary paid to Shariful Islam (Welder) for the month of salary June -19 </t>
  </si>
  <si>
    <t>17.07.2019</t>
  </si>
  <si>
    <t xml:space="preserve">Cren Rent and labour bill pay to Johra Motors Via DBBL A/C </t>
  </si>
  <si>
    <t>Cash Withdraw From MBL(CA-5534410) For Supplier Payment &amp; Petty Cash Purpose.</t>
  </si>
  <si>
    <t>17.07.19</t>
  </si>
  <si>
    <t>Inter Trancation (Pay to KPL)</t>
  </si>
  <si>
    <t>18.07.19</t>
  </si>
  <si>
    <t xml:space="preserve">Labour Tips for Rig Machine shifting </t>
  </si>
  <si>
    <t>Truck Rent (Motijheel to Ashulia) 5000</t>
  </si>
  <si>
    <t xml:space="preserve">Entertainment Rig Machine Shifting Purpose </t>
  </si>
  <si>
    <t>Entertainment (Azim, borhan &amp; Sayem)</t>
  </si>
  <si>
    <t xml:space="preserve">Cash Withdraw From MBL(CA-5534410) For Supplier Payment &amp; Petty Cash Purpose. </t>
  </si>
  <si>
    <t>Low Bad Rent (Mim Mitu Enterprise) Pay to Prince for 1 low bed</t>
  </si>
  <si>
    <t>Final payment to Tarif Engineering Services For Piling Casting At Rampal Project Via Cash  (3375000)</t>
  </si>
  <si>
    <t>21.07.2019</t>
  </si>
  <si>
    <t>Pay to Eng.Saber 8000</t>
  </si>
  <si>
    <t>A one Bappy 15000</t>
  </si>
  <si>
    <t>Petrol 500</t>
  </si>
  <si>
    <t>Disel 14950</t>
  </si>
  <si>
    <t xml:space="preserve">Rampal Project : 23800 </t>
  </si>
  <si>
    <t>Security and bamboo 3400</t>
  </si>
  <si>
    <t>Oxigen, LP, Meter and Key 4950</t>
  </si>
  <si>
    <t>A one Bappy</t>
  </si>
  <si>
    <t>Adjustment to Abu Tahar bhai : (49624 -46800) 2824</t>
  </si>
  <si>
    <t>Conveyance to Taher bhai and Seyem for Rampal 1400</t>
  </si>
  <si>
    <t>Entertainment 1160</t>
  </si>
  <si>
    <t>Labour loading bill and Materials 1010</t>
  </si>
  <si>
    <t>House rent for the month of June -19 9000</t>
  </si>
  <si>
    <t>Adjustment to Abu Tahar bhai : (18000-12570) 5430</t>
  </si>
  <si>
    <t xml:space="preserve">Conveyance pay to Shohel for MRT Projcet </t>
  </si>
  <si>
    <t>Bolt And oring  MRT project</t>
  </si>
  <si>
    <t>Inter- Transaction Pay to KPL</t>
  </si>
  <si>
    <t>23.07.2019</t>
  </si>
  <si>
    <t xml:space="preserve">Conveyance to Md. Balal for MRT projcet </t>
  </si>
  <si>
    <t>Bank Charge , Maintainance fee</t>
  </si>
  <si>
    <t>01.08.2019</t>
  </si>
  <si>
    <t xml:space="preserve">Mobile Bill(August-2019) Official Purpose (Afzal Sir &amp; Ikhtear Sir) </t>
  </si>
  <si>
    <t>04.08.2019</t>
  </si>
  <si>
    <t>advance salary paid to SAMS Saber for the month of July -19 salary</t>
  </si>
  <si>
    <t>06.08.2019</t>
  </si>
  <si>
    <t xml:space="preserve">Intertransaction received from KPL </t>
  </si>
  <si>
    <t xml:space="preserve">Advance to Prince for Office Motor Cycle repari &amp; Maintainance Purpose </t>
  </si>
  <si>
    <t>07.08.2019</t>
  </si>
  <si>
    <t xml:space="preserve">Cash salary paid to Shariful Islam (Welder) for the month of salary July -19 </t>
  </si>
  <si>
    <t>Salary For The Month Of July-2019 From MBL A/C.By Cash Cheque.(CA:5534411)</t>
  </si>
  <si>
    <t>08.08.2019</t>
  </si>
  <si>
    <t xml:space="preserve">Yeard Rent for the month of August-19 pay to Johora Motors Via DBBL A/C </t>
  </si>
  <si>
    <t>Management Cost(July-2019) to KPL Construction &amp; Developers Ltd.</t>
  </si>
  <si>
    <t>Cash Cheque Received from ICON 1000000 MRT Project</t>
  </si>
  <si>
    <t>Conveyance Pay to Borhan Uddin for MRT Project ( 17.05.19 to 31.05.19)</t>
  </si>
  <si>
    <t xml:space="preserve">Cash Pay to Sojol bhai for Income Tax Return 2018-2019 (As Consultancy Fee) </t>
  </si>
  <si>
    <t>Consultancy Fee</t>
  </si>
  <si>
    <t>Repair &amp; Maintainance (Bike office )</t>
  </si>
  <si>
    <t xml:space="preserve">Cash Salary paid to Md. Munzurul Haque (Supervisor ) for the month of salary July -19 </t>
  </si>
  <si>
    <t>Honorarium &amp; Remuneration to Ikhtear Sir For the month of July-2019(Honorarium-50,000 &amp; Remuneration-50,000 Per month)</t>
  </si>
  <si>
    <t>19.08.2019</t>
  </si>
  <si>
    <t>20.08.2019</t>
  </si>
  <si>
    <t xml:space="preserve">Intertransaction Pay to KPL </t>
  </si>
  <si>
    <t xml:space="preserve">Cash Salary adjustment with Food cost Joy and Taher bhai ( 1677 + 788) 2465 for the month of July salary </t>
  </si>
  <si>
    <t>22.08.2019</t>
  </si>
  <si>
    <t xml:space="preserve">Profile Binding &amp; Conveyance </t>
  </si>
  <si>
    <t>25.08.2019</t>
  </si>
  <si>
    <t xml:space="preserve">Entertainment (440 + 60) for Site office Yard </t>
  </si>
  <si>
    <t>Mobile Bill -Prince 200</t>
  </si>
  <si>
    <t>Material Purchase Chain  235</t>
  </si>
  <si>
    <t>Transport fuel 340</t>
  </si>
  <si>
    <t>Business Development &amp; Marketing cost (Pay to Icon) 50000</t>
  </si>
  <si>
    <t xml:space="preserve">Marketing cost </t>
  </si>
  <si>
    <t>27.08.2019</t>
  </si>
  <si>
    <t>28.08.2019</t>
  </si>
  <si>
    <t xml:space="preserve">Inter-Transaction from KPL </t>
  </si>
  <si>
    <t xml:space="preserve">Mobile Bill(Sep-2019) Official Purpose (Afzal Sir &amp; Ikhtear Sir) </t>
  </si>
  <si>
    <t xml:space="preserve">Intertraction from KPL </t>
  </si>
  <si>
    <t>01.09.2019</t>
  </si>
  <si>
    <t>02.09.2019</t>
  </si>
  <si>
    <t xml:space="preserve">A/C reparing purpose Rig machine (SWDM 28) </t>
  </si>
  <si>
    <t>03.09.2019</t>
  </si>
  <si>
    <t xml:space="preserve">Conveyance for Saber </t>
  </si>
  <si>
    <t xml:space="preserve">Pairts Repair for Rig machine (SWDM 28) </t>
  </si>
  <si>
    <t>04.09.2019</t>
  </si>
  <si>
    <t>Conveyance (Prince, Ballel, Sayem , Burhan &amp; Saber) 900</t>
  </si>
  <si>
    <t>Conveyance - Fuel (Prince)  800</t>
  </si>
  <si>
    <t>Entertainment (Prince, Ballel, Sayem , Burhan &amp; Saber) 1800</t>
  </si>
  <si>
    <t>Mobile Bill 100</t>
  </si>
  <si>
    <t>Tips 200</t>
  </si>
  <si>
    <t>Materials Water Tank Color Purpose ( Red oxide, Green Color, Tar Pin, Paint Brush, Seresh Paper, Cup Brush , Marking Clouth) 4955</t>
  </si>
  <si>
    <t>06.09.2019</t>
  </si>
  <si>
    <t>Burhan for  Lock 2 pcs @ 250</t>
  </si>
  <si>
    <t xml:space="preserve">Conveyance burhan for Lock Purchase </t>
  </si>
  <si>
    <t>09.09.2019</t>
  </si>
  <si>
    <t>Pay to A One Construction for Rope ware import purpose 1000 meter (CA-5534407)</t>
  </si>
  <si>
    <t>Pay to A One Construction for Rope ware import Release purpose 1000 meter (CA-5534413)</t>
  </si>
  <si>
    <t xml:space="preserve">Intertraction Received from KPL </t>
  </si>
  <si>
    <t>Honorarium &amp; Remuneration to Ikhtear Sir For the month of August -2019 (Honorarium-50,000 &amp; Remuneration-50,000 Per month)</t>
  </si>
  <si>
    <t>10.09.2019</t>
  </si>
  <si>
    <t>Water Presure Machine Purchase ( For Rig Machine)</t>
  </si>
  <si>
    <t xml:space="preserve">Assets Material </t>
  </si>
  <si>
    <t xml:space="preserve">Entertainment bill </t>
  </si>
  <si>
    <t>Received From Power Mech Projects Limited.(State bank of India 88466)</t>
  </si>
  <si>
    <t>12.09.2019</t>
  </si>
  <si>
    <t xml:space="preserve">Yeard Rent for the month of Sep-19 pay to Johora Motors Via Dhaka Bank A/C </t>
  </si>
  <si>
    <t xml:space="preserve">Cran rent pay to Johora Motors Via Dhaka Bank A/C </t>
  </si>
  <si>
    <t>Truck Rent (CNG - Ashulia) 2000</t>
  </si>
  <si>
    <t>materials purchase 770</t>
  </si>
  <si>
    <t>Conveyance 200</t>
  </si>
  <si>
    <t>Entertainment &amp; Security Tips 220</t>
  </si>
  <si>
    <t xml:space="preserve">Materials </t>
  </si>
  <si>
    <t>13.09.2019</t>
  </si>
  <si>
    <t xml:space="preserve">Advance to Burhan </t>
  </si>
  <si>
    <t>15.09.2019</t>
  </si>
  <si>
    <t>Salary For The Month Of July-2019 From MBL A/C.By Cash Cheque.(CA:5534413)</t>
  </si>
  <si>
    <t>16.09.2019</t>
  </si>
  <si>
    <t>Salary For The Month Of Aug-2019 From Shariful Islam- Welder</t>
  </si>
  <si>
    <t>17.09.2019</t>
  </si>
  <si>
    <t>Adjustment food with Salary ( Md. Billal, Borhan &amp; Sohel -404,347 &amp; 38) Total 789</t>
  </si>
  <si>
    <t>19.09.2019</t>
  </si>
  <si>
    <t xml:space="preserve">Trade License renewal fee </t>
  </si>
  <si>
    <t xml:space="preserve">Travel cost </t>
  </si>
  <si>
    <t>Rampal Visit Cost MD sir &amp; Director sir ( Accommodation cost 2600, Transport cost 1000, Entertainment cost 624) Total 4224</t>
  </si>
  <si>
    <t>22.09.2019</t>
  </si>
  <si>
    <t>Cash Pay to A One Construction for loan</t>
  </si>
  <si>
    <t xml:space="preserve">Salary For The Month Of Aug-2019 FromMd. Mahmudul Hasan Joy - Site Engineer 20 days salary deduct and allow 31 days only </t>
  </si>
  <si>
    <t>23.09.2019</t>
  </si>
  <si>
    <t>Cran rent pay to Joy for yard machine shifting purpose</t>
  </si>
  <si>
    <t>conveyance to Joy and Burhan for yard machine shifting purpose</t>
  </si>
  <si>
    <t xml:space="preserve">Conveyance to Prince for Lafarage Price Quatation submission purpose </t>
  </si>
  <si>
    <t>Mobile bill for prince 200</t>
  </si>
  <si>
    <t>Management Cost( August-2019) to KPL Construction &amp; Developers Ltd.</t>
  </si>
  <si>
    <t>Cash Withdraw From MBL(CA-5534414) For Supplier Payment &amp; Petty Cash Purpose.</t>
  </si>
  <si>
    <t xml:space="preserve">Inter-Transaction pay to KPL </t>
  </si>
  <si>
    <t>Ikhtear Sir(100000)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</si>
</sst>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5">
    <xf numFmtId="0" fontId="0" fillId="0" borderId="0" xfId="0"/>
    <xf numFmtId="164" fontId="0" fillId="0" borderId="0" xfId="1" applyNumberFormat="1" applyFont="1"/>
    <xf numFmtId="164" fontId="1" fillId="0" borderId="0" xfId="1" applyNumberFormat="1" applyFont="1" applyAlignment="1">
      <alignment horizontal="center"/>
    </xf>
    <xf numFmtId="164" fontId="1" fillId="0" borderId="0" xfId="1" applyNumberFormat="1" applyFont="1"/>
    <xf numFmtId="164" fontId="0" fillId="2" borderId="0" xfId="1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 applyAlignment="1"/>
    <xf numFmtId="164" fontId="1" fillId="0" borderId="1" xfId="1" applyNumberFormat="1" applyFont="1" applyBorder="1"/>
    <xf numFmtId="164" fontId="0" fillId="2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2" fillId="2" borderId="0" xfId="1" applyNumberFormat="1" applyFont="1" applyFill="1"/>
    <xf numFmtId="0" fontId="0" fillId="0" borderId="0" xfId="0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164" fontId="1" fillId="0" borderId="0" xfId="1" applyNumberFormat="1" applyFont="1" applyFill="1"/>
    <xf numFmtId="164" fontId="3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left"/>
    </xf>
    <xf numFmtId="0" fontId="4" fillId="0" borderId="0" xfId="0" applyFont="1" applyFill="1"/>
    <xf numFmtId="0" fontId="0" fillId="0" borderId="2" xfId="0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0" fontId="0" fillId="0" borderId="2" xfId="0" applyFont="1" applyFill="1" applyBorder="1"/>
    <xf numFmtId="164" fontId="0" fillId="0" borderId="2" xfId="1" applyNumberFormat="1" applyFont="1" applyFill="1" applyBorder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164" fontId="1" fillId="0" borderId="2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Alignment="1">
      <alignment horizontal="center"/>
    </xf>
    <xf numFmtId="164" fontId="0" fillId="2" borderId="0" xfId="1" applyNumberFormat="1" applyFont="1" applyFill="1" applyAlignment="1">
      <alignment horizontal="left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left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2" fillId="3" borderId="0" xfId="1" applyNumberFormat="1" applyFont="1" applyFill="1"/>
    <xf numFmtId="0" fontId="0" fillId="0" borderId="2" xfId="0" applyFont="1" applyFill="1" applyBorder="1" applyAlignment="1">
      <alignment horizontal="center"/>
    </xf>
    <xf numFmtId="164" fontId="0" fillId="3" borderId="0" xfId="1" applyNumberFormat="1" applyFont="1" applyFill="1"/>
    <xf numFmtId="164" fontId="0" fillId="3" borderId="0" xfId="1" applyNumberFormat="1" applyFont="1" applyFill="1" applyAlignment="1">
      <alignment horizontal="center"/>
    </xf>
    <xf numFmtId="164" fontId="1" fillId="0" borderId="0" xfId="1" applyNumberFormat="1" applyFont="1" applyFill="1" applyBorder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left"/>
    </xf>
    <xf numFmtId="164" fontId="0" fillId="3" borderId="0" xfId="1" applyNumberFormat="1" applyFont="1" applyFill="1" applyAlignment="1">
      <alignment horizontal="left"/>
    </xf>
    <xf numFmtId="164" fontId="1" fillId="2" borderId="0" xfId="1" applyNumberFormat="1" applyFont="1" applyFill="1" applyAlignment="1">
      <alignment horizontal="left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left" wrapText="1"/>
    </xf>
    <xf numFmtId="164" fontId="0" fillId="0" borderId="0" xfId="1" applyNumberFormat="1" applyFont="1" applyFill="1" applyAlignment="1">
      <alignment horizontal="center" wrapText="1"/>
    </xf>
    <xf numFmtId="164" fontId="0" fillId="0" borderId="0" xfId="1" applyNumberFormat="1" applyFont="1" applyFill="1" applyAlignment="1">
      <alignment wrapText="1"/>
    </xf>
    <xf numFmtId="164" fontId="2" fillId="0" borderId="0" xfId="1" applyNumberFormat="1" applyFont="1" applyFill="1" applyAlignment="1">
      <alignment wrapText="1"/>
    </xf>
    <xf numFmtId="164" fontId="2" fillId="0" borderId="0" xfId="1" applyNumberFormat="1" applyFont="1" applyFill="1" applyAlignment="1">
      <alignment vertical="center" wrapText="1"/>
    </xf>
    <xf numFmtId="0" fontId="1" fillId="0" borderId="2" xfId="0" applyFont="1" applyFill="1" applyBorder="1"/>
    <xf numFmtId="164" fontId="1" fillId="0" borderId="2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4" fontId="0" fillId="0" borderId="0" xfId="1" applyNumberFormat="1" applyFont="1" applyFill="1" applyAlignment="1">
      <alignment vertical="center"/>
    </xf>
    <xf numFmtId="164" fontId="0" fillId="0" borderId="0" xfId="1" applyNumberFormat="1" applyFont="1" applyFill="1" applyAlignment="1">
      <alignment horizontal="left" vertical="center" wrapText="1"/>
    </xf>
    <xf numFmtId="164" fontId="0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vertic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left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164" fontId="0" fillId="3" borderId="0" xfId="1" applyNumberFormat="1" applyFont="1" applyFill="1" applyAlignment="1">
      <alignment vertical="center"/>
    </xf>
    <xf numFmtId="164" fontId="0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Alignment="1">
      <alignment horizontal="left"/>
    </xf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1" fillId="0" borderId="0" xfId="0" applyFont="1" applyFill="1"/>
    <xf numFmtId="164" fontId="0" fillId="0" borderId="0" xfId="1" applyNumberFormat="1" applyFont="1" applyAlignment="1">
      <alignment horizontal="left" wrapText="1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2" borderId="0" xfId="1" applyNumberFormat="1" applyFont="1" applyFill="1" applyAlignment="1">
      <alignment vertic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64" fontId="0" fillId="0" borderId="0" xfId="1" applyNumberFormat="1" applyFont="1" applyFill="1" applyAlignment="1">
      <alignment vertical="center" wrapText="1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left" vertical="center"/>
    </xf>
    <xf numFmtId="164" fontId="2" fillId="0" borderId="0" xfId="1" applyNumberFormat="1" applyFont="1" applyAlignment="1">
      <alignment horizontal="left" vertic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Border="1" applyAlignment="1">
      <alignment horizontal="left"/>
    </xf>
    <xf numFmtId="164" fontId="0" fillId="0" borderId="0" xfId="1" applyNumberFormat="1" applyFont="1" applyFill="1" applyBorder="1" applyAlignment="1">
      <alignment vertical="center" wrapText="1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2" borderId="0" xfId="1" applyNumberFormat="1" applyFont="1" applyFill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1" fillId="0" borderId="0" xfId="1" applyNumberFormat="1" applyFont="1" applyAlignment="1">
      <alignment horizontal="left"/>
    </xf>
    <xf numFmtId="164" fontId="1" fillId="0" borderId="0" xfId="1" applyNumberFormat="1" applyFont="1" applyAlignment="1"/>
    <xf numFmtId="164" fontId="1" fillId="3" borderId="0" xfId="1" applyNumberFormat="1" applyFont="1" applyFill="1" applyAlignment="1">
      <alignment horizontal="center"/>
    </xf>
    <xf numFmtId="164" fontId="1" fillId="3" borderId="0" xfId="1" applyNumberFormat="1" applyFont="1" applyFill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2" fillId="2" borderId="0" xfId="1" applyNumberFormat="1" applyFont="1" applyFill="1" applyAlignment="1">
      <alignment vertic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left" vertical="center" wrapText="1"/>
    </xf>
    <xf numFmtId="164" fontId="0" fillId="0" borderId="0" xfId="1" applyNumberFormat="1" applyFont="1" applyFill="1" applyAlignment="1">
      <alignment horizontal="center" vertical="top"/>
    </xf>
    <xf numFmtId="164" fontId="0" fillId="0" borderId="0" xfId="1" applyNumberFormat="1" applyFont="1" applyFill="1" applyAlignment="1">
      <alignment horizontal="left" vertical="top" wrapText="1"/>
    </xf>
    <xf numFmtId="164" fontId="0" fillId="0" borderId="0" xfId="1" applyNumberFormat="1" applyFont="1" applyFill="1" applyAlignment="1">
      <alignment vertical="top"/>
    </xf>
    <xf numFmtId="164" fontId="2" fillId="0" borderId="0" xfId="1" applyNumberFormat="1" applyFont="1" applyFill="1" applyAlignment="1">
      <alignment vertical="top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2" fillId="0" borderId="0" xfId="1" applyNumberFormat="1" applyFont="1" applyFill="1" applyAlignment="1">
      <alignment horizontal="left"/>
    </xf>
    <xf numFmtId="0" fontId="0" fillId="0" borderId="0" xfId="1" applyNumberFormat="1" applyFont="1" applyAlignment="1">
      <alignment horizontal="center"/>
    </xf>
    <xf numFmtId="164" fontId="0" fillId="2" borderId="0" xfId="1" applyNumberFormat="1" applyFont="1" applyFill="1" applyAlignment="1">
      <alignment horizontal="left" vertic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vertical="center"/>
    </xf>
    <xf numFmtId="164" fontId="0" fillId="3" borderId="0" xfId="1" applyNumberFormat="1" applyFont="1" applyFill="1" applyAlignment="1">
      <alignment horizontal="left" vertical="center" wrapText="1"/>
    </xf>
    <xf numFmtId="164" fontId="0" fillId="3" borderId="0" xfId="1" applyNumberFormat="1" applyFont="1" applyFill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Fill="1" applyBorder="1" applyAlignment="1">
      <alignment horizontal="left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5" borderId="0" xfId="1" applyNumberFormat="1" applyFont="1" applyFill="1"/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7" fillId="5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4" fontId="0" fillId="0" borderId="0" xfId="0" applyNumberFormat="1"/>
    <xf numFmtId="164" fontId="0" fillId="2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1" fillId="2" borderId="3" xfId="1" applyNumberFormat="1" applyFont="1" applyFill="1" applyBorder="1" applyAlignment="1">
      <alignment horizontal="center"/>
    </xf>
    <xf numFmtId="164" fontId="1" fillId="2" borderId="4" xfId="1" applyNumberFormat="1" applyFont="1" applyFill="1" applyBorder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4" borderId="0" xfId="1" applyNumberFormat="1" applyFont="1" applyFill="1" applyAlignment="1">
      <alignment horizontal="center"/>
    </xf>
    <xf numFmtId="164" fontId="1" fillId="0" borderId="0" xfId="1" applyNumberFormat="1" applyFont="1" applyAlignment="1">
      <alignment horizontal="center"/>
    </xf>
    <xf numFmtId="164" fontId="1" fillId="3" borderId="0" xfId="1" applyNumberFormat="1" applyFont="1" applyFill="1" applyAlignment="1">
      <alignment horizontal="center"/>
    </xf>
    <xf numFmtId="164" fontId="0" fillId="7" borderId="0" xfId="1" applyNumberFormat="1" applyFont="1" applyFill="1" applyAlignment="1">
      <alignment horizontal="center"/>
    </xf>
    <xf numFmtId="164" fontId="0" fillId="8" borderId="0" xfId="1" applyNumberFormat="1" applyFont="1" applyFill="1" applyAlignment="1">
      <alignment horizontal="center"/>
    </xf>
    <xf numFmtId="164" fontId="8" fillId="6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133350</xdr:rowOff>
    </xdr:from>
    <xdr:ext cx="882036" cy="264560"/>
    <xdr:sp macro="" textlink="">
      <xdr:nvSpPr>
        <xdr:cNvPr id="2" name="TextBox 1"/>
        <xdr:cNvSpPr txBox="1"/>
      </xdr:nvSpPr>
      <xdr:spPr>
        <a:xfrm>
          <a:off x="0" y="22288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1181100</xdr:colOff>
      <xdr:row>12</xdr:row>
      <xdr:rowOff>152400</xdr:rowOff>
    </xdr:from>
    <xdr:ext cx="184731" cy="436786"/>
    <xdr:sp macro="" textlink="">
      <xdr:nvSpPr>
        <xdr:cNvPr id="3" name="TextBox 2"/>
        <xdr:cNvSpPr txBox="1"/>
      </xdr:nvSpPr>
      <xdr:spPr>
        <a:xfrm>
          <a:off x="1181100" y="224790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  <a:p>
          <a:endParaRPr lang="en-US" sz="1100"/>
        </a:p>
      </xdr:txBody>
    </xdr:sp>
    <xdr:clientData/>
  </xdr:oneCellAnchor>
  <xdr:oneCellAnchor>
    <xdr:from>
      <xdr:col>0</xdr:col>
      <xdr:colOff>1762125</xdr:colOff>
      <xdr:row>12</xdr:row>
      <xdr:rowOff>133350</xdr:rowOff>
    </xdr:from>
    <xdr:ext cx="842154" cy="264560"/>
    <xdr:sp macro="" textlink="">
      <xdr:nvSpPr>
        <xdr:cNvPr id="4" name="TextBox 3"/>
        <xdr:cNvSpPr txBox="1"/>
      </xdr:nvSpPr>
      <xdr:spPr>
        <a:xfrm>
          <a:off x="1762125" y="241935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609600</xdr:colOff>
      <xdr:row>12</xdr:row>
      <xdr:rowOff>142875</xdr:rowOff>
    </xdr:from>
    <xdr:ext cx="916020" cy="264560"/>
    <xdr:sp macro="" textlink="">
      <xdr:nvSpPr>
        <xdr:cNvPr id="5" name="TextBox 4"/>
        <xdr:cNvSpPr txBox="1"/>
      </xdr:nvSpPr>
      <xdr:spPr>
        <a:xfrm>
          <a:off x="4686300" y="2428875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523874</xdr:colOff>
      <xdr:row>12</xdr:row>
      <xdr:rowOff>161925</xdr:rowOff>
    </xdr:from>
    <xdr:ext cx="866775" cy="264560"/>
    <xdr:sp macro="" textlink="">
      <xdr:nvSpPr>
        <xdr:cNvPr id="6" name="TextBox 5"/>
        <xdr:cNvSpPr txBox="1"/>
      </xdr:nvSpPr>
      <xdr:spPr>
        <a:xfrm>
          <a:off x="3181349" y="2447925"/>
          <a:ext cx="8667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23</xdr:row>
      <xdr:rowOff>133350</xdr:rowOff>
    </xdr:from>
    <xdr:ext cx="882036" cy="264560"/>
    <xdr:sp macro="" textlink="">
      <xdr:nvSpPr>
        <xdr:cNvPr id="11" name="TextBox 10"/>
        <xdr:cNvSpPr txBox="1"/>
      </xdr:nvSpPr>
      <xdr:spPr>
        <a:xfrm>
          <a:off x="0" y="22288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1733550</xdr:colOff>
      <xdr:row>23</xdr:row>
      <xdr:rowOff>161925</xdr:rowOff>
    </xdr:from>
    <xdr:ext cx="842154" cy="264560"/>
    <xdr:sp macro="" textlink="">
      <xdr:nvSpPr>
        <xdr:cNvPr id="12" name="TextBox 11"/>
        <xdr:cNvSpPr txBox="1"/>
      </xdr:nvSpPr>
      <xdr:spPr>
        <a:xfrm>
          <a:off x="1733550" y="4543425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609600</xdr:colOff>
      <xdr:row>23</xdr:row>
      <xdr:rowOff>104775</xdr:rowOff>
    </xdr:from>
    <xdr:ext cx="916020" cy="264560"/>
    <xdr:sp macro="" textlink="">
      <xdr:nvSpPr>
        <xdr:cNvPr id="13" name="TextBox 12"/>
        <xdr:cNvSpPr txBox="1"/>
      </xdr:nvSpPr>
      <xdr:spPr>
        <a:xfrm>
          <a:off x="4686300" y="4486275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476250</xdr:colOff>
      <xdr:row>23</xdr:row>
      <xdr:rowOff>142875</xdr:rowOff>
    </xdr:from>
    <xdr:ext cx="844398" cy="264560"/>
    <xdr:sp macro="" textlink="">
      <xdr:nvSpPr>
        <xdr:cNvPr id="14" name="TextBox 13"/>
        <xdr:cNvSpPr txBox="1"/>
      </xdr:nvSpPr>
      <xdr:spPr>
        <a:xfrm>
          <a:off x="3133725" y="4524375"/>
          <a:ext cx="8443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35</xdr:row>
      <xdr:rowOff>133350</xdr:rowOff>
    </xdr:from>
    <xdr:ext cx="882036" cy="264560"/>
    <xdr:sp macro="" textlink="">
      <xdr:nvSpPr>
        <xdr:cNvPr id="15" name="TextBox 14"/>
        <xdr:cNvSpPr txBox="1"/>
      </xdr:nvSpPr>
      <xdr:spPr>
        <a:xfrm>
          <a:off x="0" y="22288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1685925</xdr:colOff>
      <xdr:row>35</xdr:row>
      <xdr:rowOff>133350</xdr:rowOff>
    </xdr:from>
    <xdr:ext cx="842154" cy="264560"/>
    <xdr:sp macro="" textlink="">
      <xdr:nvSpPr>
        <xdr:cNvPr id="16" name="TextBox 15"/>
        <xdr:cNvSpPr txBox="1"/>
      </xdr:nvSpPr>
      <xdr:spPr>
        <a:xfrm>
          <a:off x="1685925" y="680085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619125</xdr:colOff>
      <xdr:row>35</xdr:row>
      <xdr:rowOff>123825</xdr:rowOff>
    </xdr:from>
    <xdr:ext cx="916020" cy="264560"/>
    <xdr:sp macro="" textlink="">
      <xdr:nvSpPr>
        <xdr:cNvPr id="17" name="TextBox 16"/>
        <xdr:cNvSpPr txBox="1"/>
      </xdr:nvSpPr>
      <xdr:spPr>
        <a:xfrm>
          <a:off x="4695825" y="6791325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428625</xdr:colOff>
      <xdr:row>35</xdr:row>
      <xdr:rowOff>142875</xdr:rowOff>
    </xdr:from>
    <xdr:ext cx="844398" cy="264560"/>
    <xdr:sp macro="" textlink="">
      <xdr:nvSpPr>
        <xdr:cNvPr id="18" name="TextBox 17"/>
        <xdr:cNvSpPr txBox="1"/>
      </xdr:nvSpPr>
      <xdr:spPr>
        <a:xfrm>
          <a:off x="3086100" y="6810375"/>
          <a:ext cx="8443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48</xdr:row>
      <xdr:rowOff>133350</xdr:rowOff>
    </xdr:from>
    <xdr:ext cx="882036" cy="264560"/>
    <xdr:sp macro="" textlink="">
      <xdr:nvSpPr>
        <xdr:cNvPr id="19" name="TextBox 18"/>
        <xdr:cNvSpPr txBox="1"/>
      </xdr:nvSpPr>
      <xdr:spPr>
        <a:xfrm>
          <a:off x="0" y="22288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1695450</xdr:colOff>
      <xdr:row>48</xdr:row>
      <xdr:rowOff>142875</xdr:rowOff>
    </xdr:from>
    <xdr:ext cx="842154" cy="264560"/>
    <xdr:sp macro="" textlink="">
      <xdr:nvSpPr>
        <xdr:cNvPr id="20" name="TextBox 19"/>
        <xdr:cNvSpPr txBox="1"/>
      </xdr:nvSpPr>
      <xdr:spPr>
        <a:xfrm>
          <a:off x="1695450" y="9286875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590550</xdr:colOff>
      <xdr:row>48</xdr:row>
      <xdr:rowOff>152400</xdr:rowOff>
    </xdr:from>
    <xdr:ext cx="916020" cy="264560"/>
    <xdr:sp macro="" textlink="">
      <xdr:nvSpPr>
        <xdr:cNvPr id="21" name="TextBox 20"/>
        <xdr:cNvSpPr txBox="1"/>
      </xdr:nvSpPr>
      <xdr:spPr>
        <a:xfrm>
          <a:off x="4667250" y="9296400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466725</xdr:colOff>
      <xdr:row>48</xdr:row>
      <xdr:rowOff>142875</xdr:rowOff>
    </xdr:from>
    <xdr:ext cx="844398" cy="264560"/>
    <xdr:sp macro="" textlink="">
      <xdr:nvSpPr>
        <xdr:cNvPr id="22" name="TextBox 21"/>
        <xdr:cNvSpPr txBox="1"/>
      </xdr:nvSpPr>
      <xdr:spPr>
        <a:xfrm>
          <a:off x="3124200" y="9286875"/>
          <a:ext cx="8443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59</xdr:row>
      <xdr:rowOff>133350</xdr:rowOff>
    </xdr:from>
    <xdr:ext cx="882036" cy="264560"/>
    <xdr:sp macro="" textlink="">
      <xdr:nvSpPr>
        <xdr:cNvPr id="23" name="TextBox 22"/>
        <xdr:cNvSpPr txBox="1"/>
      </xdr:nvSpPr>
      <xdr:spPr>
        <a:xfrm>
          <a:off x="0" y="22288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1714500</xdr:colOff>
      <xdr:row>59</xdr:row>
      <xdr:rowOff>152400</xdr:rowOff>
    </xdr:from>
    <xdr:ext cx="842154" cy="264560"/>
    <xdr:sp macro="" textlink="">
      <xdr:nvSpPr>
        <xdr:cNvPr id="24" name="TextBox 23"/>
        <xdr:cNvSpPr txBox="1"/>
      </xdr:nvSpPr>
      <xdr:spPr>
        <a:xfrm>
          <a:off x="1714500" y="1139190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638175</xdr:colOff>
      <xdr:row>59</xdr:row>
      <xdr:rowOff>152400</xdr:rowOff>
    </xdr:from>
    <xdr:ext cx="916020" cy="264560"/>
    <xdr:sp macro="" textlink="">
      <xdr:nvSpPr>
        <xdr:cNvPr id="25" name="TextBox 24"/>
        <xdr:cNvSpPr txBox="1"/>
      </xdr:nvSpPr>
      <xdr:spPr>
        <a:xfrm>
          <a:off x="4714875" y="11391900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400050</xdr:colOff>
      <xdr:row>59</xdr:row>
      <xdr:rowOff>142875</xdr:rowOff>
    </xdr:from>
    <xdr:ext cx="844398" cy="264560"/>
    <xdr:sp macro="" textlink="">
      <xdr:nvSpPr>
        <xdr:cNvPr id="26" name="TextBox 25"/>
        <xdr:cNvSpPr txBox="1"/>
      </xdr:nvSpPr>
      <xdr:spPr>
        <a:xfrm>
          <a:off x="3057525" y="11382375"/>
          <a:ext cx="8443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71</xdr:row>
      <xdr:rowOff>133350</xdr:rowOff>
    </xdr:from>
    <xdr:ext cx="882036" cy="264560"/>
    <xdr:sp macro="" textlink="">
      <xdr:nvSpPr>
        <xdr:cNvPr id="31" name="TextBox 30"/>
        <xdr:cNvSpPr txBox="1"/>
      </xdr:nvSpPr>
      <xdr:spPr>
        <a:xfrm>
          <a:off x="0" y="22288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1600200</xdr:colOff>
      <xdr:row>71</xdr:row>
      <xdr:rowOff>161925</xdr:rowOff>
    </xdr:from>
    <xdr:ext cx="842154" cy="264560"/>
    <xdr:sp macro="" textlink="">
      <xdr:nvSpPr>
        <xdr:cNvPr id="32" name="TextBox 31"/>
        <xdr:cNvSpPr txBox="1"/>
      </xdr:nvSpPr>
      <xdr:spPr>
        <a:xfrm>
          <a:off x="1600200" y="13687425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609600</xdr:colOff>
      <xdr:row>71</xdr:row>
      <xdr:rowOff>114300</xdr:rowOff>
    </xdr:from>
    <xdr:ext cx="916020" cy="264560"/>
    <xdr:sp macro="" textlink="">
      <xdr:nvSpPr>
        <xdr:cNvPr id="33" name="TextBox 32"/>
        <xdr:cNvSpPr txBox="1"/>
      </xdr:nvSpPr>
      <xdr:spPr>
        <a:xfrm>
          <a:off x="4686300" y="13639800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400050</xdr:colOff>
      <xdr:row>71</xdr:row>
      <xdr:rowOff>152400</xdr:rowOff>
    </xdr:from>
    <xdr:ext cx="844398" cy="264560"/>
    <xdr:sp macro="" textlink="">
      <xdr:nvSpPr>
        <xdr:cNvPr id="34" name="TextBox 33"/>
        <xdr:cNvSpPr txBox="1"/>
      </xdr:nvSpPr>
      <xdr:spPr>
        <a:xfrm>
          <a:off x="3057525" y="13677900"/>
          <a:ext cx="8443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82</xdr:row>
      <xdr:rowOff>133350</xdr:rowOff>
    </xdr:from>
    <xdr:ext cx="882036" cy="264560"/>
    <xdr:sp macro="" textlink="">
      <xdr:nvSpPr>
        <xdr:cNvPr id="35" name="TextBox 34"/>
        <xdr:cNvSpPr txBox="1"/>
      </xdr:nvSpPr>
      <xdr:spPr>
        <a:xfrm>
          <a:off x="0" y="22288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1704975</xdr:colOff>
      <xdr:row>82</xdr:row>
      <xdr:rowOff>161925</xdr:rowOff>
    </xdr:from>
    <xdr:ext cx="842154" cy="264560"/>
    <xdr:sp macro="" textlink="">
      <xdr:nvSpPr>
        <xdr:cNvPr id="36" name="TextBox 35"/>
        <xdr:cNvSpPr txBox="1"/>
      </xdr:nvSpPr>
      <xdr:spPr>
        <a:xfrm>
          <a:off x="1704975" y="15782925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638175</xdr:colOff>
      <xdr:row>82</xdr:row>
      <xdr:rowOff>133350</xdr:rowOff>
    </xdr:from>
    <xdr:ext cx="916020" cy="264560"/>
    <xdr:sp macro="" textlink="">
      <xdr:nvSpPr>
        <xdr:cNvPr id="37" name="TextBox 36"/>
        <xdr:cNvSpPr txBox="1"/>
      </xdr:nvSpPr>
      <xdr:spPr>
        <a:xfrm>
          <a:off x="4714875" y="15754350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400050</xdr:colOff>
      <xdr:row>82</xdr:row>
      <xdr:rowOff>133350</xdr:rowOff>
    </xdr:from>
    <xdr:ext cx="844398" cy="264560"/>
    <xdr:sp macro="" textlink="">
      <xdr:nvSpPr>
        <xdr:cNvPr id="38" name="TextBox 37"/>
        <xdr:cNvSpPr txBox="1"/>
      </xdr:nvSpPr>
      <xdr:spPr>
        <a:xfrm>
          <a:off x="3057525" y="15754350"/>
          <a:ext cx="8443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111</xdr:row>
      <xdr:rowOff>133350</xdr:rowOff>
    </xdr:from>
    <xdr:ext cx="882036" cy="264560"/>
    <xdr:sp macro="" textlink="">
      <xdr:nvSpPr>
        <xdr:cNvPr id="39" name="TextBox 38"/>
        <xdr:cNvSpPr txBox="1"/>
      </xdr:nvSpPr>
      <xdr:spPr>
        <a:xfrm>
          <a:off x="0" y="22288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1695450</xdr:colOff>
      <xdr:row>111</xdr:row>
      <xdr:rowOff>152400</xdr:rowOff>
    </xdr:from>
    <xdr:ext cx="842154" cy="264560"/>
    <xdr:sp macro="" textlink="">
      <xdr:nvSpPr>
        <xdr:cNvPr id="40" name="TextBox 39"/>
        <xdr:cNvSpPr txBox="1"/>
      </xdr:nvSpPr>
      <xdr:spPr>
        <a:xfrm>
          <a:off x="1695450" y="2129790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542925</xdr:colOff>
      <xdr:row>111</xdr:row>
      <xdr:rowOff>133350</xdr:rowOff>
    </xdr:from>
    <xdr:ext cx="916020" cy="264560"/>
    <xdr:sp macro="" textlink="">
      <xdr:nvSpPr>
        <xdr:cNvPr id="41" name="TextBox 40"/>
        <xdr:cNvSpPr txBox="1"/>
      </xdr:nvSpPr>
      <xdr:spPr>
        <a:xfrm>
          <a:off x="4619625" y="21278850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111</xdr:row>
      <xdr:rowOff>161925</xdr:rowOff>
    </xdr:from>
    <xdr:ext cx="844398" cy="264560"/>
    <xdr:sp macro="" textlink="">
      <xdr:nvSpPr>
        <xdr:cNvPr id="42" name="TextBox 41"/>
        <xdr:cNvSpPr txBox="1"/>
      </xdr:nvSpPr>
      <xdr:spPr>
        <a:xfrm>
          <a:off x="3067050" y="21307425"/>
          <a:ext cx="8443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125</xdr:row>
      <xdr:rowOff>133350</xdr:rowOff>
    </xdr:from>
    <xdr:ext cx="882036" cy="264560"/>
    <xdr:sp macro="" textlink="">
      <xdr:nvSpPr>
        <xdr:cNvPr id="43" name="TextBox 42"/>
        <xdr:cNvSpPr txBox="1"/>
      </xdr:nvSpPr>
      <xdr:spPr>
        <a:xfrm>
          <a:off x="0" y="22288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1600200</xdr:colOff>
      <xdr:row>125</xdr:row>
      <xdr:rowOff>142875</xdr:rowOff>
    </xdr:from>
    <xdr:ext cx="842154" cy="264560"/>
    <xdr:sp macro="" textlink="">
      <xdr:nvSpPr>
        <xdr:cNvPr id="44" name="TextBox 43"/>
        <xdr:cNvSpPr txBox="1"/>
      </xdr:nvSpPr>
      <xdr:spPr>
        <a:xfrm>
          <a:off x="1600200" y="23955375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657225</xdr:colOff>
      <xdr:row>125</xdr:row>
      <xdr:rowOff>123825</xdr:rowOff>
    </xdr:from>
    <xdr:ext cx="916020" cy="264560"/>
    <xdr:sp macro="" textlink="">
      <xdr:nvSpPr>
        <xdr:cNvPr id="45" name="TextBox 44"/>
        <xdr:cNvSpPr txBox="1"/>
      </xdr:nvSpPr>
      <xdr:spPr>
        <a:xfrm>
          <a:off x="4733925" y="23936325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400050</xdr:colOff>
      <xdr:row>125</xdr:row>
      <xdr:rowOff>152400</xdr:rowOff>
    </xdr:from>
    <xdr:ext cx="895350" cy="264560"/>
    <xdr:sp macro="" textlink="">
      <xdr:nvSpPr>
        <xdr:cNvPr id="46" name="TextBox 45"/>
        <xdr:cNvSpPr txBox="1"/>
      </xdr:nvSpPr>
      <xdr:spPr>
        <a:xfrm>
          <a:off x="3057525" y="23964900"/>
          <a:ext cx="895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139</xdr:row>
      <xdr:rowOff>133350</xdr:rowOff>
    </xdr:from>
    <xdr:ext cx="882036" cy="264560"/>
    <xdr:sp macro="" textlink="">
      <xdr:nvSpPr>
        <xdr:cNvPr id="47" name="TextBox 46"/>
        <xdr:cNvSpPr txBox="1"/>
      </xdr:nvSpPr>
      <xdr:spPr>
        <a:xfrm>
          <a:off x="0" y="22288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139</xdr:row>
      <xdr:rowOff>152400</xdr:rowOff>
    </xdr:from>
    <xdr:ext cx="842154" cy="264560"/>
    <xdr:sp macro="" textlink="">
      <xdr:nvSpPr>
        <xdr:cNvPr id="48" name="TextBox 47"/>
        <xdr:cNvSpPr txBox="1"/>
      </xdr:nvSpPr>
      <xdr:spPr>
        <a:xfrm>
          <a:off x="1533525" y="2663190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657225</xdr:colOff>
      <xdr:row>139</xdr:row>
      <xdr:rowOff>142875</xdr:rowOff>
    </xdr:from>
    <xdr:ext cx="916020" cy="264560"/>
    <xdr:sp macro="" textlink="">
      <xdr:nvSpPr>
        <xdr:cNvPr id="49" name="TextBox 48"/>
        <xdr:cNvSpPr txBox="1"/>
      </xdr:nvSpPr>
      <xdr:spPr>
        <a:xfrm>
          <a:off x="4733925" y="26622375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361950</xdr:colOff>
      <xdr:row>139</xdr:row>
      <xdr:rowOff>161925</xdr:rowOff>
    </xdr:from>
    <xdr:ext cx="844398" cy="264560"/>
    <xdr:sp macro="" textlink="">
      <xdr:nvSpPr>
        <xdr:cNvPr id="50" name="TextBox 49"/>
        <xdr:cNvSpPr txBox="1"/>
      </xdr:nvSpPr>
      <xdr:spPr>
        <a:xfrm>
          <a:off x="3019425" y="26641425"/>
          <a:ext cx="8443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151</xdr:row>
      <xdr:rowOff>133350</xdr:rowOff>
    </xdr:from>
    <xdr:ext cx="882036" cy="264560"/>
    <xdr:sp macro="" textlink="">
      <xdr:nvSpPr>
        <xdr:cNvPr id="51" name="TextBox 50"/>
        <xdr:cNvSpPr txBox="1"/>
      </xdr:nvSpPr>
      <xdr:spPr>
        <a:xfrm>
          <a:off x="0" y="22288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1581150</xdr:colOff>
      <xdr:row>151</xdr:row>
      <xdr:rowOff>142875</xdr:rowOff>
    </xdr:from>
    <xdr:ext cx="842154" cy="264560"/>
    <xdr:sp macro="" textlink="">
      <xdr:nvSpPr>
        <xdr:cNvPr id="52" name="TextBox 51"/>
        <xdr:cNvSpPr txBox="1"/>
      </xdr:nvSpPr>
      <xdr:spPr>
        <a:xfrm>
          <a:off x="1581150" y="28908375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657225</xdr:colOff>
      <xdr:row>151</xdr:row>
      <xdr:rowOff>133350</xdr:rowOff>
    </xdr:from>
    <xdr:ext cx="916020" cy="264560"/>
    <xdr:sp macro="" textlink="">
      <xdr:nvSpPr>
        <xdr:cNvPr id="53" name="TextBox 52"/>
        <xdr:cNvSpPr txBox="1"/>
      </xdr:nvSpPr>
      <xdr:spPr>
        <a:xfrm>
          <a:off x="4733925" y="28898850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447675</xdr:colOff>
      <xdr:row>151</xdr:row>
      <xdr:rowOff>142875</xdr:rowOff>
    </xdr:from>
    <xdr:ext cx="844398" cy="264560"/>
    <xdr:sp macro="" textlink="">
      <xdr:nvSpPr>
        <xdr:cNvPr id="54" name="TextBox 53"/>
        <xdr:cNvSpPr txBox="1"/>
      </xdr:nvSpPr>
      <xdr:spPr>
        <a:xfrm>
          <a:off x="3105150" y="28908375"/>
          <a:ext cx="8443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162</xdr:row>
      <xdr:rowOff>133350</xdr:rowOff>
    </xdr:from>
    <xdr:ext cx="882036" cy="264560"/>
    <xdr:sp macro="" textlink="">
      <xdr:nvSpPr>
        <xdr:cNvPr id="59" name="TextBox 58"/>
        <xdr:cNvSpPr txBox="1"/>
      </xdr:nvSpPr>
      <xdr:spPr>
        <a:xfrm>
          <a:off x="0" y="22288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1504950</xdr:colOff>
      <xdr:row>162</xdr:row>
      <xdr:rowOff>142875</xdr:rowOff>
    </xdr:from>
    <xdr:ext cx="842154" cy="264560"/>
    <xdr:sp macro="" textlink="">
      <xdr:nvSpPr>
        <xdr:cNvPr id="60" name="TextBox 59"/>
        <xdr:cNvSpPr txBox="1"/>
      </xdr:nvSpPr>
      <xdr:spPr>
        <a:xfrm>
          <a:off x="1504950" y="31003875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590550</xdr:colOff>
      <xdr:row>162</xdr:row>
      <xdr:rowOff>142875</xdr:rowOff>
    </xdr:from>
    <xdr:ext cx="916020" cy="264560"/>
    <xdr:sp macro="" textlink="">
      <xdr:nvSpPr>
        <xdr:cNvPr id="61" name="TextBox 60"/>
        <xdr:cNvSpPr txBox="1"/>
      </xdr:nvSpPr>
      <xdr:spPr>
        <a:xfrm>
          <a:off x="4667250" y="31003875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323850</xdr:colOff>
      <xdr:row>162</xdr:row>
      <xdr:rowOff>142875</xdr:rowOff>
    </xdr:from>
    <xdr:ext cx="844398" cy="264560"/>
    <xdr:sp macro="" textlink="">
      <xdr:nvSpPr>
        <xdr:cNvPr id="62" name="TextBox 61"/>
        <xdr:cNvSpPr txBox="1"/>
      </xdr:nvSpPr>
      <xdr:spPr>
        <a:xfrm>
          <a:off x="2981325" y="31003875"/>
          <a:ext cx="8443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176</xdr:row>
      <xdr:rowOff>133350</xdr:rowOff>
    </xdr:from>
    <xdr:ext cx="882036" cy="264560"/>
    <xdr:sp macro="" textlink="">
      <xdr:nvSpPr>
        <xdr:cNvPr id="67" name="TextBox 66"/>
        <xdr:cNvSpPr txBox="1"/>
      </xdr:nvSpPr>
      <xdr:spPr>
        <a:xfrm>
          <a:off x="0" y="22288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1495425</xdr:colOff>
      <xdr:row>176</xdr:row>
      <xdr:rowOff>161925</xdr:rowOff>
    </xdr:from>
    <xdr:ext cx="842154" cy="264560"/>
    <xdr:sp macro="" textlink="">
      <xdr:nvSpPr>
        <xdr:cNvPr id="68" name="TextBox 67"/>
        <xdr:cNvSpPr txBox="1"/>
      </xdr:nvSpPr>
      <xdr:spPr>
        <a:xfrm>
          <a:off x="1495425" y="33689925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647700</xdr:colOff>
      <xdr:row>176</xdr:row>
      <xdr:rowOff>152400</xdr:rowOff>
    </xdr:from>
    <xdr:ext cx="916020" cy="264560"/>
    <xdr:sp macro="" textlink="">
      <xdr:nvSpPr>
        <xdr:cNvPr id="69" name="TextBox 68"/>
        <xdr:cNvSpPr txBox="1"/>
      </xdr:nvSpPr>
      <xdr:spPr>
        <a:xfrm>
          <a:off x="4724400" y="33680400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323850</xdr:colOff>
      <xdr:row>176</xdr:row>
      <xdr:rowOff>180975</xdr:rowOff>
    </xdr:from>
    <xdr:ext cx="844398" cy="264560"/>
    <xdr:sp macro="" textlink="">
      <xdr:nvSpPr>
        <xdr:cNvPr id="70" name="TextBox 69"/>
        <xdr:cNvSpPr txBox="1"/>
      </xdr:nvSpPr>
      <xdr:spPr>
        <a:xfrm>
          <a:off x="2981325" y="33708975"/>
          <a:ext cx="8443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188</xdr:row>
      <xdr:rowOff>133350</xdr:rowOff>
    </xdr:from>
    <xdr:ext cx="882036" cy="264560"/>
    <xdr:sp macro="" textlink="">
      <xdr:nvSpPr>
        <xdr:cNvPr id="71" name="TextBox 70"/>
        <xdr:cNvSpPr txBox="1"/>
      </xdr:nvSpPr>
      <xdr:spPr>
        <a:xfrm>
          <a:off x="0" y="22288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188</xdr:row>
      <xdr:rowOff>133350</xdr:rowOff>
    </xdr:from>
    <xdr:ext cx="842154" cy="264560"/>
    <xdr:sp macro="" textlink="">
      <xdr:nvSpPr>
        <xdr:cNvPr id="72" name="TextBox 71"/>
        <xdr:cNvSpPr txBox="1"/>
      </xdr:nvSpPr>
      <xdr:spPr>
        <a:xfrm>
          <a:off x="1533525" y="3594735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188</xdr:row>
      <xdr:rowOff>142875</xdr:rowOff>
    </xdr:from>
    <xdr:ext cx="916020" cy="264560"/>
    <xdr:sp macro="" textlink="">
      <xdr:nvSpPr>
        <xdr:cNvPr id="73" name="TextBox 72"/>
        <xdr:cNvSpPr txBox="1"/>
      </xdr:nvSpPr>
      <xdr:spPr>
        <a:xfrm>
          <a:off x="4705350" y="35956875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188</xdr:row>
      <xdr:rowOff>161925</xdr:rowOff>
    </xdr:from>
    <xdr:ext cx="981075" cy="264560"/>
    <xdr:sp macro="" textlink="">
      <xdr:nvSpPr>
        <xdr:cNvPr id="74" name="TextBox 73"/>
        <xdr:cNvSpPr txBox="1"/>
      </xdr:nvSpPr>
      <xdr:spPr>
        <a:xfrm>
          <a:off x="3067050" y="35975925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207</xdr:row>
      <xdr:rowOff>133350</xdr:rowOff>
    </xdr:from>
    <xdr:ext cx="882036" cy="264560"/>
    <xdr:sp macro="" textlink="">
      <xdr:nvSpPr>
        <xdr:cNvPr id="83" name="TextBox 82"/>
        <xdr:cNvSpPr txBox="1"/>
      </xdr:nvSpPr>
      <xdr:spPr>
        <a:xfrm>
          <a:off x="0" y="359473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207</xdr:row>
      <xdr:rowOff>133350</xdr:rowOff>
    </xdr:from>
    <xdr:ext cx="842154" cy="264560"/>
    <xdr:sp macro="" textlink="">
      <xdr:nvSpPr>
        <xdr:cNvPr id="84" name="TextBox 83"/>
        <xdr:cNvSpPr txBox="1"/>
      </xdr:nvSpPr>
      <xdr:spPr>
        <a:xfrm>
          <a:off x="1533525" y="3594735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207</xdr:row>
      <xdr:rowOff>142875</xdr:rowOff>
    </xdr:from>
    <xdr:ext cx="916020" cy="264560"/>
    <xdr:sp macro="" textlink="">
      <xdr:nvSpPr>
        <xdr:cNvPr id="85" name="TextBox 84"/>
        <xdr:cNvSpPr txBox="1"/>
      </xdr:nvSpPr>
      <xdr:spPr>
        <a:xfrm>
          <a:off x="4705350" y="35956875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207</xdr:row>
      <xdr:rowOff>161925</xdr:rowOff>
    </xdr:from>
    <xdr:ext cx="981075" cy="264560"/>
    <xdr:sp macro="" textlink="">
      <xdr:nvSpPr>
        <xdr:cNvPr id="86" name="TextBox 85"/>
        <xdr:cNvSpPr txBox="1"/>
      </xdr:nvSpPr>
      <xdr:spPr>
        <a:xfrm>
          <a:off x="3067050" y="35975925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218</xdr:row>
      <xdr:rowOff>133350</xdr:rowOff>
    </xdr:from>
    <xdr:ext cx="882036" cy="264560"/>
    <xdr:sp macro="" textlink="">
      <xdr:nvSpPr>
        <xdr:cNvPr id="75" name="TextBox 74"/>
        <xdr:cNvSpPr txBox="1"/>
      </xdr:nvSpPr>
      <xdr:spPr>
        <a:xfrm>
          <a:off x="0" y="395668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218</xdr:row>
      <xdr:rowOff>133350</xdr:rowOff>
    </xdr:from>
    <xdr:ext cx="842154" cy="264560"/>
    <xdr:sp macro="" textlink="">
      <xdr:nvSpPr>
        <xdr:cNvPr id="76" name="TextBox 75"/>
        <xdr:cNvSpPr txBox="1"/>
      </xdr:nvSpPr>
      <xdr:spPr>
        <a:xfrm>
          <a:off x="1533525" y="3956685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218</xdr:row>
      <xdr:rowOff>142875</xdr:rowOff>
    </xdr:from>
    <xdr:ext cx="916020" cy="264560"/>
    <xdr:sp macro="" textlink="">
      <xdr:nvSpPr>
        <xdr:cNvPr id="77" name="TextBox 76"/>
        <xdr:cNvSpPr txBox="1"/>
      </xdr:nvSpPr>
      <xdr:spPr>
        <a:xfrm>
          <a:off x="4705350" y="39576375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218</xdr:row>
      <xdr:rowOff>161925</xdr:rowOff>
    </xdr:from>
    <xdr:ext cx="981075" cy="264560"/>
    <xdr:sp macro="" textlink="">
      <xdr:nvSpPr>
        <xdr:cNvPr id="78" name="TextBox 77"/>
        <xdr:cNvSpPr txBox="1"/>
      </xdr:nvSpPr>
      <xdr:spPr>
        <a:xfrm>
          <a:off x="3067050" y="39595425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230</xdr:row>
      <xdr:rowOff>133350</xdr:rowOff>
    </xdr:from>
    <xdr:ext cx="882036" cy="264560"/>
    <xdr:sp macro="" textlink="">
      <xdr:nvSpPr>
        <xdr:cNvPr id="79" name="TextBox 78"/>
        <xdr:cNvSpPr txBox="1"/>
      </xdr:nvSpPr>
      <xdr:spPr>
        <a:xfrm>
          <a:off x="0" y="395668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230</xdr:row>
      <xdr:rowOff>133350</xdr:rowOff>
    </xdr:from>
    <xdr:ext cx="842154" cy="264560"/>
    <xdr:sp macro="" textlink="">
      <xdr:nvSpPr>
        <xdr:cNvPr id="80" name="TextBox 79"/>
        <xdr:cNvSpPr txBox="1"/>
      </xdr:nvSpPr>
      <xdr:spPr>
        <a:xfrm>
          <a:off x="1533525" y="3956685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230</xdr:row>
      <xdr:rowOff>142875</xdr:rowOff>
    </xdr:from>
    <xdr:ext cx="916020" cy="264560"/>
    <xdr:sp macro="" textlink="">
      <xdr:nvSpPr>
        <xdr:cNvPr id="81" name="TextBox 80"/>
        <xdr:cNvSpPr txBox="1"/>
      </xdr:nvSpPr>
      <xdr:spPr>
        <a:xfrm>
          <a:off x="4705350" y="39576375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230</xdr:row>
      <xdr:rowOff>161925</xdr:rowOff>
    </xdr:from>
    <xdr:ext cx="981075" cy="264560"/>
    <xdr:sp macro="" textlink="">
      <xdr:nvSpPr>
        <xdr:cNvPr id="82" name="TextBox 81"/>
        <xdr:cNvSpPr txBox="1"/>
      </xdr:nvSpPr>
      <xdr:spPr>
        <a:xfrm>
          <a:off x="3067050" y="39595425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240</xdr:row>
      <xdr:rowOff>133350</xdr:rowOff>
    </xdr:from>
    <xdr:ext cx="882036" cy="264560"/>
    <xdr:sp macro="" textlink="">
      <xdr:nvSpPr>
        <xdr:cNvPr id="87" name="TextBox 86"/>
        <xdr:cNvSpPr txBox="1"/>
      </xdr:nvSpPr>
      <xdr:spPr>
        <a:xfrm>
          <a:off x="0" y="395668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240</xdr:row>
      <xdr:rowOff>133350</xdr:rowOff>
    </xdr:from>
    <xdr:ext cx="842154" cy="264560"/>
    <xdr:sp macro="" textlink="">
      <xdr:nvSpPr>
        <xdr:cNvPr id="88" name="TextBox 87"/>
        <xdr:cNvSpPr txBox="1"/>
      </xdr:nvSpPr>
      <xdr:spPr>
        <a:xfrm>
          <a:off x="1533525" y="3956685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240</xdr:row>
      <xdr:rowOff>142875</xdr:rowOff>
    </xdr:from>
    <xdr:ext cx="916020" cy="264560"/>
    <xdr:sp macro="" textlink="">
      <xdr:nvSpPr>
        <xdr:cNvPr id="89" name="TextBox 88"/>
        <xdr:cNvSpPr txBox="1"/>
      </xdr:nvSpPr>
      <xdr:spPr>
        <a:xfrm>
          <a:off x="4705350" y="39576375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240</xdr:row>
      <xdr:rowOff>161925</xdr:rowOff>
    </xdr:from>
    <xdr:ext cx="981075" cy="264560"/>
    <xdr:sp macro="" textlink="">
      <xdr:nvSpPr>
        <xdr:cNvPr id="90" name="TextBox 89"/>
        <xdr:cNvSpPr txBox="1"/>
      </xdr:nvSpPr>
      <xdr:spPr>
        <a:xfrm>
          <a:off x="3067050" y="39595425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257</xdr:row>
      <xdr:rowOff>133350</xdr:rowOff>
    </xdr:from>
    <xdr:ext cx="882036" cy="264560"/>
    <xdr:sp macro="" textlink="">
      <xdr:nvSpPr>
        <xdr:cNvPr id="95" name="TextBox 94"/>
        <xdr:cNvSpPr txBox="1"/>
      </xdr:nvSpPr>
      <xdr:spPr>
        <a:xfrm>
          <a:off x="0" y="458533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257</xdr:row>
      <xdr:rowOff>133350</xdr:rowOff>
    </xdr:from>
    <xdr:ext cx="842154" cy="264560"/>
    <xdr:sp macro="" textlink="">
      <xdr:nvSpPr>
        <xdr:cNvPr id="96" name="TextBox 95"/>
        <xdr:cNvSpPr txBox="1"/>
      </xdr:nvSpPr>
      <xdr:spPr>
        <a:xfrm>
          <a:off x="1533525" y="4585335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257</xdr:row>
      <xdr:rowOff>142875</xdr:rowOff>
    </xdr:from>
    <xdr:ext cx="916020" cy="264560"/>
    <xdr:sp macro="" textlink="">
      <xdr:nvSpPr>
        <xdr:cNvPr id="97" name="TextBox 96"/>
        <xdr:cNvSpPr txBox="1"/>
      </xdr:nvSpPr>
      <xdr:spPr>
        <a:xfrm>
          <a:off x="4705350" y="45862875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257</xdr:row>
      <xdr:rowOff>161925</xdr:rowOff>
    </xdr:from>
    <xdr:ext cx="981075" cy="264560"/>
    <xdr:sp macro="" textlink="">
      <xdr:nvSpPr>
        <xdr:cNvPr id="98" name="TextBox 97"/>
        <xdr:cNvSpPr txBox="1"/>
      </xdr:nvSpPr>
      <xdr:spPr>
        <a:xfrm>
          <a:off x="3067050" y="45881925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278</xdr:row>
      <xdr:rowOff>133350</xdr:rowOff>
    </xdr:from>
    <xdr:ext cx="882036" cy="264560"/>
    <xdr:sp macro="" textlink="">
      <xdr:nvSpPr>
        <xdr:cNvPr id="91" name="TextBox 90"/>
        <xdr:cNvSpPr txBox="1"/>
      </xdr:nvSpPr>
      <xdr:spPr>
        <a:xfrm>
          <a:off x="0" y="490918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278</xdr:row>
      <xdr:rowOff>133350</xdr:rowOff>
    </xdr:from>
    <xdr:ext cx="842154" cy="264560"/>
    <xdr:sp macro="" textlink="">
      <xdr:nvSpPr>
        <xdr:cNvPr id="92" name="TextBox 91"/>
        <xdr:cNvSpPr txBox="1"/>
      </xdr:nvSpPr>
      <xdr:spPr>
        <a:xfrm>
          <a:off x="1533525" y="4909185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278</xdr:row>
      <xdr:rowOff>142875</xdr:rowOff>
    </xdr:from>
    <xdr:ext cx="916020" cy="264560"/>
    <xdr:sp macro="" textlink="">
      <xdr:nvSpPr>
        <xdr:cNvPr id="93" name="TextBox 92"/>
        <xdr:cNvSpPr txBox="1"/>
      </xdr:nvSpPr>
      <xdr:spPr>
        <a:xfrm>
          <a:off x="4705350" y="49101375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278</xdr:row>
      <xdr:rowOff>161925</xdr:rowOff>
    </xdr:from>
    <xdr:ext cx="981075" cy="264560"/>
    <xdr:sp macro="" textlink="">
      <xdr:nvSpPr>
        <xdr:cNvPr id="94" name="TextBox 93"/>
        <xdr:cNvSpPr txBox="1"/>
      </xdr:nvSpPr>
      <xdr:spPr>
        <a:xfrm>
          <a:off x="3067050" y="49120425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302</xdr:row>
      <xdr:rowOff>133350</xdr:rowOff>
    </xdr:from>
    <xdr:ext cx="882036" cy="264560"/>
    <xdr:sp macro="" textlink="">
      <xdr:nvSpPr>
        <xdr:cNvPr id="99" name="TextBox 98"/>
        <xdr:cNvSpPr txBox="1"/>
      </xdr:nvSpPr>
      <xdr:spPr>
        <a:xfrm>
          <a:off x="0" y="525208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302</xdr:row>
      <xdr:rowOff>133350</xdr:rowOff>
    </xdr:from>
    <xdr:ext cx="842154" cy="264560"/>
    <xdr:sp macro="" textlink="">
      <xdr:nvSpPr>
        <xdr:cNvPr id="100" name="TextBox 99"/>
        <xdr:cNvSpPr txBox="1"/>
      </xdr:nvSpPr>
      <xdr:spPr>
        <a:xfrm>
          <a:off x="1533525" y="5252085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302</xdr:row>
      <xdr:rowOff>142875</xdr:rowOff>
    </xdr:from>
    <xdr:ext cx="916020" cy="264560"/>
    <xdr:sp macro="" textlink="">
      <xdr:nvSpPr>
        <xdr:cNvPr id="101" name="TextBox 100"/>
        <xdr:cNvSpPr txBox="1"/>
      </xdr:nvSpPr>
      <xdr:spPr>
        <a:xfrm>
          <a:off x="4705350" y="52530375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302</xdr:row>
      <xdr:rowOff>161925</xdr:rowOff>
    </xdr:from>
    <xdr:ext cx="981075" cy="264560"/>
    <xdr:sp macro="" textlink="">
      <xdr:nvSpPr>
        <xdr:cNvPr id="102" name="TextBox 101"/>
        <xdr:cNvSpPr txBox="1"/>
      </xdr:nvSpPr>
      <xdr:spPr>
        <a:xfrm>
          <a:off x="3067050" y="52549425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882036" cy="264560"/>
    <xdr:sp macro="" textlink="">
      <xdr:nvSpPr>
        <xdr:cNvPr id="103" name="TextBox 102"/>
        <xdr:cNvSpPr txBox="1"/>
      </xdr:nvSpPr>
      <xdr:spPr>
        <a:xfrm>
          <a:off x="0" y="561403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334</xdr:row>
      <xdr:rowOff>0</xdr:rowOff>
    </xdr:from>
    <xdr:ext cx="842154" cy="264560"/>
    <xdr:sp macro="" textlink="">
      <xdr:nvSpPr>
        <xdr:cNvPr id="104" name="TextBox 103"/>
        <xdr:cNvSpPr txBox="1"/>
      </xdr:nvSpPr>
      <xdr:spPr>
        <a:xfrm>
          <a:off x="1533525" y="5614035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334</xdr:row>
      <xdr:rowOff>0</xdr:rowOff>
    </xdr:from>
    <xdr:ext cx="916020" cy="264560"/>
    <xdr:sp macro="" textlink="">
      <xdr:nvSpPr>
        <xdr:cNvPr id="105" name="TextBox 104"/>
        <xdr:cNvSpPr txBox="1"/>
      </xdr:nvSpPr>
      <xdr:spPr>
        <a:xfrm>
          <a:off x="4705350" y="56149875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334</xdr:row>
      <xdr:rowOff>0</xdr:rowOff>
    </xdr:from>
    <xdr:ext cx="981075" cy="264560"/>
    <xdr:sp macro="" textlink="">
      <xdr:nvSpPr>
        <xdr:cNvPr id="106" name="TextBox 105"/>
        <xdr:cNvSpPr txBox="1"/>
      </xdr:nvSpPr>
      <xdr:spPr>
        <a:xfrm>
          <a:off x="3067050" y="56168925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358</xdr:row>
      <xdr:rowOff>0</xdr:rowOff>
    </xdr:from>
    <xdr:ext cx="882036" cy="264560"/>
    <xdr:sp macro="" textlink="">
      <xdr:nvSpPr>
        <xdr:cNvPr id="111" name="TextBox 110"/>
        <xdr:cNvSpPr txBox="1"/>
      </xdr:nvSpPr>
      <xdr:spPr>
        <a:xfrm>
          <a:off x="0" y="5614035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358</xdr:row>
      <xdr:rowOff>0</xdr:rowOff>
    </xdr:from>
    <xdr:ext cx="842154" cy="264560"/>
    <xdr:sp macro="" textlink="">
      <xdr:nvSpPr>
        <xdr:cNvPr id="112" name="TextBox 111"/>
        <xdr:cNvSpPr txBox="1"/>
      </xdr:nvSpPr>
      <xdr:spPr>
        <a:xfrm>
          <a:off x="1533525" y="5614035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358</xdr:row>
      <xdr:rowOff>0</xdr:rowOff>
    </xdr:from>
    <xdr:ext cx="916020" cy="264560"/>
    <xdr:sp macro="" textlink="">
      <xdr:nvSpPr>
        <xdr:cNvPr id="113" name="TextBox 112"/>
        <xdr:cNvSpPr txBox="1"/>
      </xdr:nvSpPr>
      <xdr:spPr>
        <a:xfrm>
          <a:off x="4705350" y="56149875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358</xdr:row>
      <xdr:rowOff>0</xdr:rowOff>
    </xdr:from>
    <xdr:ext cx="981075" cy="264560"/>
    <xdr:sp macro="" textlink="">
      <xdr:nvSpPr>
        <xdr:cNvPr id="114" name="TextBox 113"/>
        <xdr:cNvSpPr txBox="1"/>
      </xdr:nvSpPr>
      <xdr:spPr>
        <a:xfrm>
          <a:off x="3067050" y="56168925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882036" cy="264560"/>
    <xdr:sp macro="" textlink="">
      <xdr:nvSpPr>
        <xdr:cNvPr id="107" name="TextBox 106"/>
        <xdr:cNvSpPr txBox="1"/>
      </xdr:nvSpPr>
      <xdr:spPr>
        <a:xfrm>
          <a:off x="0" y="6819900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541</xdr:row>
      <xdr:rowOff>0</xdr:rowOff>
    </xdr:from>
    <xdr:ext cx="842154" cy="264560"/>
    <xdr:sp macro="" textlink="">
      <xdr:nvSpPr>
        <xdr:cNvPr id="108" name="TextBox 107"/>
        <xdr:cNvSpPr txBox="1"/>
      </xdr:nvSpPr>
      <xdr:spPr>
        <a:xfrm>
          <a:off x="1533525" y="6819900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541</xdr:row>
      <xdr:rowOff>0</xdr:rowOff>
    </xdr:from>
    <xdr:ext cx="916020" cy="264560"/>
    <xdr:sp macro="" textlink="">
      <xdr:nvSpPr>
        <xdr:cNvPr id="109" name="TextBox 108"/>
        <xdr:cNvSpPr txBox="1"/>
      </xdr:nvSpPr>
      <xdr:spPr>
        <a:xfrm>
          <a:off x="5381625" y="68199000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541</xdr:row>
      <xdr:rowOff>0</xdr:rowOff>
    </xdr:from>
    <xdr:ext cx="981075" cy="264560"/>
    <xdr:sp macro="" textlink="">
      <xdr:nvSpPr>
        <xdr:cNvPr id="110" name="TextBox 109"/>
        <xdr:cNvSpPr txBox="1"/>
      </xdr:nvSpPr>
      <xdr:spPr>
        <a:xfrm>
          <a:off x="3743325" y="68199000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377</xdr:row>
      <xdr:rowOff>0</xdr:rowOff>
    </xdr:from>
    <xdr:ext cx="882036" cy="264560"/>
    <xdr:sp macro="" textlink="">
      <xdr:nvSpPr>
        <xdr:cNvPr id="115" name="TextBox 114"/>
        <xdr:cNvSpPr txBox="1"/>
      </xdr:nvSpPr>
      <xdr:spPr>
        <a:xfrm>
          <a:off x="0" y="6819900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377</xdr:row>
      <xdr:rowOff>0</xdr:rowOff>
    </xdr:from>
    <xdr:ext cx="842154" cy="264560"/>
    <xdr:sp macro="" textlink="">
      <xdr:nvSpPr>
        <xdr:cNvPr id="116" name="TextBox 115"/>
        <xdr:cNvSpPr txBox="1"/>
      </xdr:nvSpPr>
      <xdr:spPr>
        <a:xfrm>
          <a:off x="1533525" y="6819900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377</xdr:row>
      <xdr:rowOff>0</xdr:rowOff>
    </xdr:from>
    <xdr:ext cx="916020" cy="264560"/>
    <xdr:sp macro="" textlink="">
      <xdr:nvSpPr>
        <xdr:cNvPr id="117" name="TextBox 116"/>
        <xdr:cNvSpPr txBox="1"/>
      </xdr:nvSpPr>
      <xdr:spPr>
        <a:xfrm>
          <a:off x="5381625" y="68199000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377</xdr:row>
      <xdr:rowOff>0</xdr:rowOff>
    </xdr:from>
    <xdr:ext cx="981075" cy="264560"/>
    <xdr:sp macro="" textlink="">
      <xdr:nvSpPr>
        <xdr:cNvPr id="118" name="TextBox 117"/>
        <xdr:cNvSpPr txBox="1"/>
      </xdr:nvSpPr>
      <xdr:spPr>
        <a:xfrm>
          <a:off x="3743325" y="68199000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391</xdr:row>
      <xdr:rowOff>0</xdr:rowOff>
    </xdr:from>
    <xdr:ext cx="882036" cy="264560"/>
    <xdr:sp macro="" textlink="">
      <xdr:nvSpPr>
        <xdr:cNvPr id="119" name="TextBox 118"/>
        <xdr:cNvSpPr txBox="1"/>
      </xdr:nvSpPr>
      <xdr:spPr>
        <a:xfrm>
          <a:off x="0" y="7181850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391</xdr:row>
      <xdr:rowOff>0</xdr:rowOff>
    </xdr:from>
    <xdr:ext cx="842154" cy="264560"/>
    <xdr:sp macro="" textlink="">
      <xdr:nvSpPr>
        <xdr:cNvPr id="120" name="TextBox 119"/>
        <xdr:cNvSpPr txBox="1"/>
      </xdr:nvSpPr>
      <xdr:spPr>
        <a:xfrm>
          <a:off x="1533525" y="7181850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391</xdr:row>
      <xdr:rowOff>0</xdr:rowOff>
    </xdr:from>
    <xdr:ext cx="916020" cy="264560"/>
    <xdr:sp macro="" textlink="">
      <xdr:nvSpPr>
        <xdr:cNvPr id="121" name="TextBox 120"/>
        <xdr:cNvSpPr txBox="1"/>
      </xdr:nvSpPr>
      <xdr:spPr>
        <a:xfrm>
          <a:off x="5381625" y="71818500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391</xdr:row>
      <xdr:rowOff>0</xdr:rowOff>
    </xdr:from>
    <xdr:ext cx="981075" cy="264560"/>
    <xdr:sp macro="" textlink="">
      <xdr:nvSpPr>
        <xdr:cNvPr id="122" name="TextBox 121"/>
        <xdr:cNvSpPr txBox="1"/>
      </xdr:nvSpPr>
      <xdr:spPr>
        <a:xfrm>
          <a:off x="3743325" y="71818500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414</xdr:row>
      <xdr:rowOff>0</xdr:rowOff>
    </xdr:from>
    <xdr:ext cx="882036" cy="264560"/>
    <xdr:sp macro="" textlink="">
      <xdr:nvSpPr>
        <xdr:cNvPr id="123" name="TextBox 122"/>
        <xdr:cNvSpPr txBox="1"/>
      </xdr:nvSpPr>
      <xdr:spPr>
        <a:xfrm>
          <a:off x="0" y="7448550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414</xdr:row>
      <xdr:rowOff>0</xdr:rowOff>
    </xdr:from>
    <xdr:ext cx="842154" cy="264560"/>
    <xdr:sp macro="" textlink="">
      <xdr:nvSpPr>
        <xdr:cNvPr id="124" name="TextBox 123"/>
        <xdr:cNvSpPr txBox="1"/>
      </xdr:nvSpPr>
      <xdr:spPr>
        <a:xfrm>
          <a:off x="1533525" y="7448550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414</xdr:row>
      <xdr:rowOff>0</xdr:rowOff>
    </xdr:from>
    <xdr:ext cx="916020" cy="264560"/>
    <xdr:sp macro="" textlink="">
      <xdr:nvSpPr>
        <xdr:cNvPr id="125" name="TextBox 124"/>
        <xdr:cNvSpPr txBox="1"/>
      </xdr:nvSpPr>
      <xdr:spPr>
        <a:xfrm>
          <a:off x="5381625" y="74485500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414</xdr:row>
      <xdr:rowOff>0</xdr:rowOff>
    </xdr:from>
    <xdr:ext cx="981075" cy="264560"/>
    <xdr:sp macro="" textlink="">
      <xdr:nvSpPr>
        <xdr:cNvPr id="126" name="TextBox 125"/>
        <xdr:cNvSpPr txBox="1"/>
      </xdr:nvSpPr>
      <xdr:spPr>
        <a:xfrm>
          <a:off x="3743325" y="74485500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433</xdr:row>
      <xdr:rowOff>0</xdr:rowOff>
    </xdr:from>
    <xdr:ext cx="882036" cy="264560"/>
    <xdr:sp macro="" textlink="">
      <xdr:nvSpPr>
        <xdr:cNvPr id="127" name="TextBox 126"/>
        <xdr:cNvSpPr txBox="1"/>
      </xdr:nvSpPr>
      <xdr:spPr>
        <a:xfrm>
          <a:off x="0" y="7886700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433</xdr:row>
      <xdr:rowOff>0</xdr:rowOff>
    </xdr:from>
    <xdr:ext cx="842154" cy="264560"/>
    <xdr:sp macro="" textlink="">
      <xdr:nvSpPr>
        <xdr:cNvPr id="128" name="TextBox 127"/>
        <xdr:cNvSpPr txBox="1"/>
      </xdr:nvSpPr>
      <xdr:spPr>
        <a:xfrm>
          <a:off x="1533525" y="7886700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433</xdr:row>
      <xdr:rowOff>0</xdr:rowOff>
    </xdr:from>
    <xdr:ext cx="916020" cy="264560"/>
    <xdr:sp macro="" textlink="">
      <xdr:nvSpPr>
        <xdr:cNvPr id="129" name="TextBox 128"/>
        <xdr:cNvSpPr txBox="1"/>
      </xdr:nvSpPr>
      <xdr:spPr>
        <a:xfrm>
          <a:off x="5638800" y="78867000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433</xdr:row>
      <xdr:rowOff>0</xdr:rowOff>
    </xdr:from>
    <xdr:ext cx="981075" cy="264560"/>
    <xdr:sp macro="" textlink="">
      <xdr:nvSpPr>
        <xdr:cNvPr id="130" name="TextBox 129"/>
        <xdr:cNvSpPr txBox="1"/>
      </xdr:nvSpPr>
      <xdr:spPr>
        <a:xfrm>
          <a:off x="4000500" y="78867000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445</xdr:row>
      <xdr:rowOff>0</xdr:rowOff>
    </xdr:from>
    <xdr:ext cx="882036" cy="264560"/>
    <xdr:sp macro="" textlink="">
      <xdr:nvSpPr>
        <xdr:cNvPr id="131" name="TextBox 130"/>
        <xdr:cNvSpPr txBox="1"/>
      </xdr:nvSpPr>
      <xdr:spPr>
        <a:xfrm>
          <a:off x="0" y="8248650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445</xdr:row>
      <xdr:rowOff>0</xdr:rowOff>
    </xdr:from>
    <xdr:ext cx="842154" cy="264560"/>
    <xdr:sp macro="" textlink="">
      <xdr:nvSpPr>
        <xdr:cNvPr id="132" name="TextBox 131"/>
        <xdr:cNvSpPr txBox="1"/>
      </xdr:nvSpPr>
      <xdr:spPr>
        <a:xfrm>
          <a:off x="1533525" y="8248650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445</xdr:row>
      <xdr:rowOff>0</xdr:rowOff>
    </xdr:from>
    <xdr:ext cx="916020" cy="264560"/>
    <xdr:sp macro="" textlink="">
      <xdr:nvSpPr>
        <xdr:cNvPr id="133" name="TextBox 132"/>
        <xdr:cNvSpPr txBox="1"/>
      </xdr:nvSpPr>
      <xdr:spPr>
        <a:xfrm>
          <a:off x="5638800" y="82486500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445</xdr:row>
      <xdr:rowOff>0</xdr:rowOff>
    </xdr:from>
    <xdr:ext cx="981075" cy="264560"/>
    <xdr:sp macro="" textlink="">
      <xdr:nvSpPr>
        <xdr:cNvPr id="134" name="TextBox 133"/>
        <xdr:cNvSpPr txBox="1"/>
      </xdr:nvSpPr>
      <xdr:spPr>
        <a:xfrm>
          <a:off x="4000500" y="82486500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474</xdr:row>
      <xdr:rowOff>0</xdr:rowOff>
    </xdr:from>
    <xdr:ext cx="882036" cy="264560"/>
    <xdr:sp macro="" textlink="">
      <xdr:nvSpPr>
        <xdr:cNvPr id="135" name="TextBox 134"/>
        <xdr:cNvSpPr txBox="1"/>
      </xdr:nvSpPr>
      <xdr:spPr>
        <a:xfrm>
          <a:off x="0" y="8477250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474</xdr:row>
      <xdr:rowOff>0</xdr:rowOff>
    </xdr:from>
    <xdr:ext cx="842154" cy="264560"/>
    <xdr:sp macro="" textlink="">
      <xdr:nvSpPr>
        <xdr:cNvPr id="136" name="TextBox 135"/>
        <xdr:cNvSpPr txBox="1"/>
      </xdr:nvSpPr>
      <xdr:spPr>
        <a:xfrm>
          <a:off x="1533525" y="8477250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474</xdr:row>
      <xdr:rowOff>0</xdr:rowOff>
    </xdr:from>
    <xdr:ext cx="916020" cy="264560"/>
    <xdr:sp macro="" textlink="">
      <xdr:nvSpPr>
        <xdr:cNvPr id="137" name="TextBox 136"/>
        <xdr:cNvSpPr txBox="1"/>
      </xdr:nvSpPr>
      <xdr:spPr>
        <a:xfrm>
          <a:off x="5791200" y="84772500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474</xdr:row>
      <xdr:rowOff>0</xdr:rowOff>
    </xdr:from>
    <xdr:ext cx="981075" cy="264560"/>
    <xdr:sp macro="" textlink="">
      <xdr:nvSpPr>
        <xdr:cNvPr id="138" name="TextBox 137"/>
        <xdr:cNvSpPr txBox="1"/>
      </xdr:nvSpPr>
      <xdr:spPr>
        <a:xfrm>
          <a:off x="4152900" y="84772500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486</xdr:row>
      <xdr:rowOff>0</xdr:rowOff>
    </xdr:from>
    <xdr:ext cx="882036" cy="264560"/>
    <xdr:sp macro="" textlink="">
      <xdr:nvSpPr>
        <xdr:cNvPr id="143" name="TextBox 142"/>
        <xdr:cNvSpPr txBox="1"/>
      </xdr:nvSpPr>
      <xdr:spPr>
        <a:xfrm>
          <a:off x="0" y="9067800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486</xdr:row>
      <xdr:rowOff>0</xdr:rowOff>
    </xdr:from>
    <xdr:ext cx="842154" cy="264560"/>
    <xdr:sp macro="" textlink="">
      <xdr:nvSpPr>
        <xdr:cNvPr id="144" name="TextBox 143"/>
        <xdr:cNvSpPr txBox="1"/>
      </xdr:nvSpPr>
      <xdr:spPr>
        <a:xfrm>
          <a:off x="1533525" y="9067800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486</xdr:row>
      <xdr:rowOff>0</xdr:rowOff>
    </xdr:from>
    <xdr:ext cx="916020" cy="264560"/>
    <xdr:sp macro="" textlink="">
      <xdr:nvSpPr>
        <xdr:cNvPr id="145" name="TextBox 144"/>
        <xdr:cNvSpPr txBox="1"/>
      </xdr:nvSpPr>
      <xdr:spPr>
        <a:xfrm>
          <a:off x="5791200" y="90678000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486</xdr:row>
      <xdr:rowOff>0</xdr:rowOff>
    </xdr:from>
    <xdr:ext cx="981075" cy="264560"/>
    <xdr:sp macro="" textlink="">
      <xdr:nvSpPr>
        <xdr:cNvPr id="146" name="TextBox 145"/>
        <xdr:cNvSpPr txBox="1"/>
      </xdr:nvSpPr>
      <xdr:spPr>
        <a:xfrm>
          <a:off x="4152900" y="90678000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882036" cy="264560"/>
    <xdr:sp macro="" textlink="">
      <xdr:nvSpPr>
        <xdr:cNvPr id="151" name="TextBox 150"/>
        <xdr:cNvSpPr txBox="1"/>
      </xdr:nvSpPr>
      <xdr:spPr>
        <a:xfrm>
          <a:off x="0" y="9296400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502</xdr:row>
      <xdr:rowOff>0</xdr:rowOff>
    </xdr:from>
    <xdr:ext cx="842154" cy="264560"/>
    <xdr:sp macro="" textlink="">
      <xdr:nvSpPr>
        <xdr:cNvPr id="152" name="TextBox 151"/>
        <xdr:cNvSpPr txBox="1"/>
      </xdr:nvSpPr>
      <xdr:spPr>
        <a:xfrm>
          <a:off x="1533525" y="9296400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502</xdr:row>
      <xdr:rowOff>0</xdr:rowOff>
    </xdr:from>
    <xdr:ext cx="916020" cy="264560"/>
    <xdr:sp macro="" textlink="">
      <xdr:nvSpPr>
        <xdr:cNvPr id="153" name="TextBox 152"/>
        <xdr:cNvSpPr txBox="1"/>
      </xdr:nvSpPr>
      <xdr:spPr>
        <a:xfrm>
          <a:off x="5791200" y="92964000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502</xdr:row>
      <xdr:rowOff>0</xdr:rowOff>
    </xdr:from>
    <xdr:ext cx="981075" cy="264560"/>
    <xdr:sp macro="" textlink="">
      <xdr:nvSpPr>
        <xdr:cNvPr id="154" name="TextBox 153"/>
        <xdr:cNvSpPr txBox="1"/>
      </xdr:nvSpPr>
      <xdr:spPr>
        <a:xfrm>
          <a:off x="4152900" y="92964000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563</xdr:row>
      <xdr:rowOff>0</xdr:rowOff>
    </xdr:from>
    <xdr:ext cx="882036" cy="264560"/>
    <xdr:sp macro="" textlink="">
      <xdr:nvSpPr>
        <xdr:cNvPr id="139" name="TextBox 138"/>
        <xdr:cNvSpPr txBox="1"/>
      </xdr:nvSpPr>
      <xdr:spPr>
        <a:xfrm>
          <a:off x="0" y="10344150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563</xdr:row>
      <xdr:rowOff>0</xdr:rowOff>
    </xdr:from>
    <xdr:ext cx="842154" cy="264560"/>
    <xdr:sp macro="" textlink="">
      <xdr:nvSpPr>
        <xdr:cNvPr id="140" name="TextBox 139"/>
        <xdr:cNvSpPr txBox="1"/>
      </xdr:nvSpPr>
      <xdr:spPr>
        <a:xfrm>
          <a:off x="1533525" y="10344150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563</xdr:row>
      <xdr:rowOff>0</xdr:rowOff>
    </xdr:from>
    <xdr:ext cx="916020" cy="264560"/>
    <xdr:sp macro="" textlink="">
      <xdr:nvSpPr>
        <xdr:cNvPr id="141" name="TextBox 140"/>
        <xdr:cNvSpPr txBox="1"/>
      </xdr:nvSpPr>
      <xdr:spPr>
        <a:xfrm>
          <a:off x="5791200" y="103441500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563</xdr:row>
      <xdr:rowOff>0</xdr:rowOff>
    </xdr:from>
    <xdr:ext cx="981075" cy="264560"/>
    <xdr:sp macro="" textlink="">
      <xdr:nvSpPr>
        <xdr:cNvPr id="142" name="TextBox 141"/>
        <xdr:cNvSpPr txBox="1"/>
      </xdr:nvSpPr>
      <xdr:spPr>
        <a:xfrm>
          <a:off x="4152900" y="103441500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  <xdr:oneCellAnchor>
    <xdr:from>
      <xdr:col>0</xdr:col>
      <xdr:colOff>0</xdr:colOff>
      <xdr:row>582</xdr:row>
      <xdr:rowOff>0</xdr:rowOff>
    </xdr:from>
    <xdr:ext cx="882036" cy="264560"/>
    <xdr:sp macro="" textlink="">
      <xdr:nvSpPr>
        <xdr:cNvPr id="147" name="TextBox 146"/>
        <xdr:cNvSpPr txBox="1"/>
      </xdr:nvSpPr>
      <xdr:spPr>
        <a:xfrm>
          <a:off x="0" y="107632500"/>
          <a:ext cx="8820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Prepared by</a:t>
          </a:r>
        </a:p>
      </xdr:txBody>
    </xdr:sp>
    <xdr:clientData/>
  </xdr:oneCellAnchor>
  <xdr:oneCellAnchor>
    <xdr:from>
      <xdr:col>0</xdr:col>
      <xdr:colOff>1533525</xdr:colOff>
      <xdr:row>582</xdr:row>
      <xdr:rowOff>0</xdr:rowOff>
    </xdr:from>
    <xdr:ext cx="842154" cy="264560"/>
    <xdr:sp macro="" textlink="">
      <xdr:nvSpPr>
        <xdr:cNvPr id="148" name="TextBox 147"/>
        <xdr:cNvSpPr txBox="1"/>
      </xdr:nvSpPr>
      <xdr:spPr>
        <a:xfrm>
          <a:off x="1533525" y="107632500"/>
          <a:ext cx="8421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Checked by</a:t>
          </a:r>
        </a:p>
      </xdr:txBody>
    </xdr:sp>
    <xdr:clientData/>
  </xdr:oneCellAnchor>
  <xdr:oneCellAnchor>
    <xdr:from>
      <xdr:col>2</xdr:col>
      <xdr:colOff>628650</xdr:colOff>
      <xdr:row>582</xdr:row>
      <xdr:rowOff>0</xdr:rowOff>
    </xdr:from>
    <xdr:ext cx="916020" cy="264560"/>
    <xdr:sp macro="" textlink="">
      <xdr:nvSpPr>
        <xdr:cNvPr id="149" name="TextBox 148"/>
        <xdr:cNvSpPr txBox="1"/>
      </xdr:nvSpPr>
      <xdr:spPr>
        <a:xfrm>
          <a:off x="5791200" y="107632500"/>
          <a:ext cx="916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Approved by</a:t>
          </a:r>
        </a:p>
      </xdr:txBody>
    </xdr:sp>
    <xdr:clientData/>
  </xdr:oneCellAnchor>
  <xdr:oneCellAnchor>
    <xdr:from>
      <xdr:col>1</xdr:col>
      <xdr:colOff>409575</xdr:colOff>
      <xdr:row>582</xdr:row>
      <xdr:rowOff>0</xdr:rowOff>
    </xdr:from>
    <xdr:ext cx="981075" cy="264560"/>
    <xdr:sp macro="" textlink="">
      <xdr:nvSpPr>
        <xdr:cNvPr id="150" name="TextBox 149"/>
        <xdr:cNvSpPr txBox="1"/>
      </xdr:nvSpPr>
      <xdr:spPr>
        <a:xfrm>
          <a:off x="4152900" y="107632500"/>
          <a:ext cx="981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Accountant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583"/>
  <sheetViews>
    <sheetView topLeftCell="A253" workbookViewId="0">
      <selection activeCell="B282" sqref="B282"/>
    </sheetView>
  </sheetViews>
  <sheetFormatPr defaultRowHeight="15" x14ac:dyDescent="0.25"/>
  <cols>
    <col min="1" max="1" width="56.140625" style="5" customWidth="1"/>
    <col min="2" max="2" width="21.28515625" style="7" customWidth="1"/>
    <col min="3" max="3" width="23.7109375" style="7" customWidth="1"/>
    <col min="4" max="16384" width="9.140625" style="5"/>
  </cols>
  <sheetData>
    <row r="1" spans="1:4" x14ac:dyDescent="0.25">
      <c r="A1" s="372" t="s">
        <v>157</v>
      </c>
      <c r="B1" s="372"/>
      <c r="C1" s="372"/>
      <c r="D1" s="372"/>
    </row>
    <row r="2" spans="1:4" x14ac:dyDescent="0.25">
      <c r="A2" s="372" t="s">
        <v>211</v>
      </c>
      <c r="B2" s="372"/>
      <c r="C2" s="372"/>
      <c r="D2" s="372"/>
    </row>
    <row r="3" spans="1:4" x14ac:dyDescent="0.25">
      <c r="A3" s="372" t="s">
        <v>159</v>
      </c>
      <c r="B3" s="372"/>
      <c r="C3" s="372"/>
      <c r="D3" s="372"/>
    </row>
    <row r="4" spans="1:4" x14ac:dyDescent="0.25">
      <c r="A4" s="20" t="s">
        <v>5</v>
      </c>
      <c r="B4" s="21" t="s">
        <v>56</v>
      </c>
      <c r="C4" s="21" t="s">
        <v>57</v>
      </c>
      <c r="D4" s="19"/>
    </row>
    <row r="5" spans="1:4" x14ac:dyDescent="0.25">
      <c r="A5" s="22" t="s">
        <v>37</v>
      </c>
      <c r="B5" s="23">
        <v>600</v>
      </c>
      <c r="C5" s="23"/>
      <c r="D5" s="19"/>
    </row>
    <row r="6" spans="1:4" x14ac:dyDescent="0.25">
      <c r="A6" s="22" t="s">
        <v>160</v>
      </c>
      <c r="B6" s="23">
        <v>13100</v>
      </c>
      <c r="C6" s="23"/>
      <c r="D6" s="19"/>
    </row>
    <row r="7" spans="1:4" x14ac:dyDescent="0.25">
      <c r="A7" s="22" t="s">
        <v>6</v>
      </c>
      <c r="B7" s="23">
        <v>322</v>
      </c>
      <c r="C7" s="23"/>
      <c r="D7" s="19"/>
    </row>
    <row r="8" spans="1:4" x14ac:dyDescent="0.25">
      <c r="A8" s="22" t="s">
        <v>100</v>
      </c>
      <c r="B8" s="23">
        <v>200</v>
      </c>
      <c r="C8" s="23"/>
      <c r="D8" s="19"/>
    </row>
    <row r="9" spans="1:4" x14ac:dyDescent="0.25">
      <c r="A9" s="22" t="s">
        <v>82</v>
      </c>
      <c r="B9" s="23">
        <v>3500</v>
      </c>
      <c r="C9" s="23"/>
      <c r="D9" s="19"/>
    </row>
    <row r="10" spans="1:4" x14ac:dyDescent="0.25">
      <c r="A10" s="22" t="s">
        <v>86</v>
      </c>
      <c r="B10" s="23">
        <v>26</v>
      </c>
      <c r="C10" s="23"/>
      <c r="D10" s="19"/>
    </row>
    <row r="11" spans="1:4" x14ac:dyDescent="0.25">
      <c r="A11" s="22" t="s">
        <v>161</v>
      </c>
      <c r="B11" s="23"/>
      <c r="C11" s="23">
        <v>17748</v>
      </c>
      <c r="D11" s="19"/>
    </row>
    <row r="12" spans="1:4" x14ac:dyDescent="0.25">
      <c r="A12" s="13"/>
      <c r="D12" s="19"/>
    </row>
    <row r="13" spans="1:4" x14ac:dyDescent="0.25">
      <c r="A13" s="13"/>
      <c r="D13" s="19"/>
    </row>
    <row r="14" spans="1:4" x14ac:dyDescent="0.25">
      <c r="A14" s="13"/>
      <c r="D14" s="19"/>
    </row>
    <row r="15" spans="1:4" x14ac:dyDescent="0.25">
      <c r="A15" s="13"/>
      <c r="D15" s="19"/>
    </row>
    <row r="16" spans="1:4" x14ac:dyDescent="0.25">
      <c r="A16" s="372" t="s">
        <v>157</v>
      </c>
      <c r="B16" s="372"/>
      <c r="C16" s="372"/>
      <c r="D16" s="19"/>
    </row>
    <row r="17" spans="1:4" x14ac:dyDescent="0.25">
      <c r="A17" s="372" t="s">
        <v>158</v>
      </c>
      <c r="B17" s="372"/>
      <c r="C17" s="372"/>
      <c r="D17" s="19"/>
    </row>
    <row r="18" spans="1:4" x14ac:dyDescent="0.25">
      <c r="A18" s="372" t="s">
        <v>163</v>
      </c>
      <c r="B18" s="372"/>
      <c r="C18" s="372"/>
      <c r="D18" s="19"/>
    </row>
    <row r="19" spans="1:4" x14ac:dyDescent="0.25">
      <c r="A19" s="20" t="s">
        <v>5</v>
      </c>
      <c r="B19" s="21" t="s">
        <v>56</v>
      </c>
      <c r="C19" s="21" t="s">
        <v>57</v>
      </c>
      <c r="D19" s="19"/>
    </row>
    <row r="20" spans="1:4" x14ac:dyDescent="0.25">
      <c r="A20" s="22" t="s">
        <v>164</v>
      </c>
      <c r="B20" s="23">
        <v>10000</v>
      </c>
      <c r="C20" s="23"/>
      <c r="D20" s="19"/>
    </row>
    <row r="21" spans="1:4" x14ac:dyDescent="0.25">
      <c r="A21" s="22" t="s">
        <v>6</v>
      </c>
      <c r="B21" s="23">
        <v>266</v>
      </c>
      <c r="C21" s="23"/>
      <c r="D21" s="19"/>
    </row>
    <row r="22" spans="1:4" x14ac:dyDescent="0.25">
      <c r="A22" s="22" t="s">
        <v>179</v>
      </c>
      <c r="B22" s="23"/>
      <c r="C22" s="23">
        <v>10266</v>
      </c>
      <c r="D22" s="19"/>
    </row>
    <row r="23" spans="1:4" x14ac:dyDescent="0.25">
      <c r="A23" s="13"/>
      <c r="D23" s="19"/>
    </row>
    <row r="24" spans="1:4" x14ac:dyDescent="0.25">
      <c r="A24" s="13"/>
      <c r="D24" s="19"/>
    </row>
    <row r="25" spans="1:4" x14ac:dyDescent="0.25">
      <c r="A25" s="13"/>
      <c r="D25" s="19"/>
    </row>
    <row r="26" spans="1:4" x14ac:dyDescent="0.25">
      <c r="A26" s="13"/>
      <c r="D26" s="19"/>
    </row>
    <row r="27" spans="1:4" x14ac:dyDescent="0.25">
      <c r="A27" s="372" t="s">
        <v>157</v>
      </c>
      <c r="B27" s="372"/>
      <c r="C27" s="372"/>
      <c r="D27" s="19"/>
    </row>
    <row r="28" spans="1:4" x14ac:dyDescent="0.25">
      <c r="A28" s="372" t="s">
        <v>158</v>
      </c>
      <c r="B28" s="372"/>
      <c r="C28" s="372"/>
      <c r="D28" s="19"/>
    </row>
    <row r="29" spans="1:4" x14ac:dyDescent="0.25">
      <c r="A29" s="372" t="s">
        <v>166</v>
      </c>
      <c r="B29" s="372"/>
      <c r="C29" s="372"/>
      <c r="D29" s="19"/>
    </row>
    <row r="30" spans="1:4" x14ac:dyDescent="0.25">
      <c r="A30" s="20" t="s">
        <v>5</v>
      </c>
      <c r="B30" s="21" t="s">
        <v>56</v>
      </c>
      <c r="C30" s="21" t="s">
        <v>57</v>
      </c>
      <c r="D30" s="19"/>
    </row>
    <row r="31" spans="1:4" x14ac:dyDescent="0.25">
      <c r="A31" s="22" t="s">
        <v>36</v>
      </c>
      <c r="B31" s="23">
        <v>7865</v>
      </c>
      <c r="C31" s="23"/>
      <c r="D31" s="19"/>
    </row>
    <row r="32" spans="1:4" x14ac:dyDescent="0.25">
      <c r="A32" s="22" t="s">
        <v>100</v>
      </c>
      <c r="B32" s="23">
        <v>635</v>
      </c>
      <c r="C32" s="23"/>
      <c r="D32" s="19"/>
    </row>
    <row r="33" spans="1:4" x14ac:dyDescent="0.25">
      <c r="A33" s="22" t="s">
        <v>165</v>
      </c>
      <c r="B33" s="23">
        <v>1500</v>
      </c>
      <c r="C33" s="23"/>
      <c r="D33" s="19"/>
    </row>
    <row r="34" spans="1:4" x14ac:dyDescent="0.25">
      <c r="A34" s="22" t="s">
        <v>179</v>
      </c>
      <c r="B34" s="23"/>
      <c r="C34" s="23">
        <v>10000</v>
      </c>
      <c r="D34" s="19"/>
    </row>
    <row r="35" spans="1:4" x14ac:dyDescent="0.25">
      <c r="A35" s="13"/>
      <c r="D35" s="19"/>
    </row>
    <row r="36" spans="1:4" x14ac:dyDescent="0.25">
      <c r="B36" s="5"/>
      <c r="C36" s="5"/>
    </row>
    <row r="37" spans="1:4" x14ac:dyDescent="0.25">
      <c r="A37" s="13"/>
      <c r="D37" s="19"/>
    </row>
    <row r="38" spans="1:4" x14ac:dyDescent="0.25">
      <c r="A38" s="13"/>
      <c r="D38" s="19"/>
    </row>
    <row r="39" spans="1:4" x14ac:dyDescent="0.25">
      <c r="A39" s="372" t="s">
        <v>157</v>
      </c>
      <c r="B39" s="372"/>
      <c r="C39" s="372"/>
      <c r="D39" s="19"/>
    </row>
    <row r="40" spans="1:4" x14ac:dyDescent="0.25">
      <c r="A40" s="372" t="s">
        <v>158</v>
      </c>
      <c r="B40" s="372"/>
      <c r="C40" s="372"/>
      <c r="D40" s="19"/>
    </row>
    <row r="41" spans="1:4" x14ac:dyDescent="0.25">
      <c r="A41" s="372" t="s">
        <v>168</v>
      </c>
      <c r="B41" s="372"/>
      <c r="C41" s="372"/>
      <c r="D41" s="19"/>
    </row>
    <row r="42" spans="1:4" x14ac:dyDescent="0.25">
      <c r="A42" s="20" t="s">
        <v>5</v>
      </c>
      <c r="B42" s="21" t="s">
        <v>56</v>
      </c>
      <c r="C42" s="21" t="s">
        <v>57</v>
      </c>
      <c r="D42" s="19"/>
    </row>
    <row r="43" spans="1:4" x14ac:dyDescent="0.25">
      <c r="A43" s="22" t="s">
        <v>100</v>
      </c>
      <c r="B43" s="23">
        <v>1180</v>
      </c>
      <c r="C43" s="23"/>
      <c r="D43" s="19"/>
    </row>
    <row r="44" spans="1:4" x14ac:dyDescent="0.25">
      <c r="A44" s="22" t="s">
        <v>19</v>
      </c>
      <c r="B44" s="23">
        <v>460</v>
      </c>
      <c r="C44" s="23"/>
      <c r="D44" s="19"/>
    </row>
    <row r="45" spans="1:4" x14ac:dyDescent="0.25">
      <c r="A45" s="22" t="s">
        <v>165</v>
      </c>
      <c r="B45" s="23">
        <v>110</v>
      </c>
      <c r="C45" s="23"/>
      <c r="D45" s="19"/>
    </row>
    <row r="46" spans="1:4" x14ac:dyDescent="0.25">
      <c r="A46" s="22" t="s">
        <v>86</v>
      </c>
      <c r="B46" s="23">
        <v>250</v>
      </c>
      <c r="C46" s="23"/>
      <c r="D46" s="19"/>
    </row>
    <row r="47" spans="1:4" x14ac:dyDescent="0.25">
      <c r="A47" s="22" t="s">
        <v>180</v>
      </c>
      <c r="B47" s="23"/>
      <c r="C47" s="23">
        <v>2000</v>
      </c>
      <c r="D47" s="19"/>
    </row>
    <row r="48" spans="1:4" x14ac:dyDescent="0.25">
      <c r="A48" s="13"/>
      <c r="D48" s="19"/>
    </row>
    <row r="49" spans="1:4" x14ac:dyDescent="0.25">
      <c r="A49" s="13"/>
      <c r="D49" s="19"/>
    </row>
    <row r="50" spans="1:4" x14ac:dyDescent="0.25">
      <c r="A50" s="13"/>
      <c r="D50" s="19"/>
    </row>
    <row r="51" spans="1:4" x14ac:dyDescent="0.25">
      <c r="A51" s="13"/>
      <c r="D51" s="19"/>
    </row>
    <row r="52" spans="1:4" x14ac:dyDescent="0.25">
      <c r="A52" s="372" t="s">
        <v>157</v>
      </c>
      <c r="B52" s="372"/>
      <c r="C52" s="372"/>
      <c r="D52" s="19"/>
    </row>
    <row r="53" spans="1:4" x14ac:dyDescent="0.25">
      <c r="A53" s="372" t="s">
        <v>158</v>
      </c>
      <c r="B53" s="372"/>
      <c r="C53" s="372"/>
      <c r="D53" s="19"/>
    </row>
    <row r="54" spans="1:4" x14ac:dyDescent="0.25">
      <c r="A54" s="372" t="s">
        <v>171</v>
      </c>
      <c r="B54" s="372"/>
      <c r="C54" s="372"/>
      <c r="D54" s="19"/>
    </row>
    <row r="55" spans="1:4" x14ac:dyDescent="0.25">
      <c r="A55" s="20" t="s">
        <v>5</v>
      </c>
      <c r="B55" s="21" t="s">
        <v>56</v>
      </c>
      <c r="C55" s="21" t="s">
        <v>57</v>
      </c>
      <c r="D55" s="19"/>
    </row>
    <row r="56" spans="1:4" x14ac:dyDescent="0.25">
      <c r="A56" s="22" t="s">
        <v>100</v>
      </c>
      <c r="B56" s="23">
        <v>260</v>
      </c>
      <c r="C56" s="23"/>
      <c r="D56" s="19"/>
    </row>
    <row r="57" spans="1:4" x14ac:dyDescent="0.25">
      <c r="A57" s="22" t="s">
        <v>86</v>
      </c>
      <c r="B57" s="23">
        <v>29740</v>
      </c>
      <c r="C57" s="23"/>
      <c r="D57" s="19"/>
    </row>
    <row r="58" spans="1:4" x14ac:dyDescent="0.25">
      <c r="A58" s="22" t="s">
        <v>180</v>
      </c>
      <c r="B58" s="23"/>
      <c r="C58" s="23">
        <v>30000</v>
      </c>
      <c r="D58" s="19"/>
    </row>
    <row r="59" spans="1:4" x14ac:dyDescent="0.25">
      <c r="A59" s="13"/>
      <c r="D59" s="19"/>
    </row>
    <row r="60" spans="1:4" x14ac:dyDescent="0.25">
      <c r="A60" s="13"/>
      <c r="D60" s="19"/>
    </row>
    <row r="61" spans="1:4" x14ac:dyDescent="0.25">
      <c r="A61" s="13"/>
      <c r="D61" s="19"/>
    </row>
    <row r="62" spans="1:4" x14ac:dyDescent="0.25">
      <c r="B62" s="5"/>
      <c r="C62" s="5"/>
    </row>
    <row r="63" spans="1:4" x14ac:dyDescent="0.25">
      <c r="A63" s="372" t="s">
        <v>157</v>
      </c>
      <c r="B63" s="372"/>
      <c r="C63" s="372"/>
      <c r="D63" s="19"/>
    </row>
    <row r="64" spans="1:4" x14ac:dyDescent="0.25">
      <c r="A64" s="372" t="s">
        <v>158</v>
      </c>
      <c r="B64" s="372"/>
      <c r="C64" s="372"/>
      <c r="D64" s="19"/>
    </row>
    <row r="65" spans="1:4" x14ac:dyDescent="0.25">
      <c r="A65" s="372" t="s">
        <v>173</v>
      </c>
      <c r="B65" s="372"/>
      <c r="C65" s="372"/>
      <c r="D65" s="19"/>
    </row>
    <row r="66" spans="1:4" x14ac:dyDescent="0.25">
      <c r="A66" s="20" t="s">
        <v>5</v>
      </c>
      <c r="B66" s="21" t="s">
        <v>56</v>
      </c>
      <c r="C66" s="21" t="s">
        <v>57</v>
      </c>
      <c r="D66" s="19"/>
    </row>
    <row r="67" spans="1:4" x14ac:dyDescent="0.25">
      <c r="A67" s="22" t="s">
        <v>39</v>
      </c>
      <c r="B67" s="23">
        <v>13100</v>
      </c>
      <c r="C67" s="23"/>
      <c r="D67" s="19"/>
    </row>
    <row r="68" spans="1:4" x14ac:dyDescent="0.25">
      <c r="A68" s="22" t="s">
        <v>100</v>
      </c>
      <c r="B68" s="23">
        <v>200</v>
      </c>
      <c r="C68" s="23"/>
      <c r="D68" s="19"/>
    </row>
    <row r="69" spans="1:4" x14ac:dyDescent="0.25">
      <c r="A69" s="22" t="s">
        <v>6</v>
      </c>
      <c r="B69" s="23">
        <v>200</v>
      </c>
      <c r="C69" s="23"/>
      <c r="D69" s="19"/>
    </row>
    <row r="70" spans="1:4" x14ac:dyDescent="0.25">
      <c r="A70" s="22" t="s">
        <v>181</v>
      </c>
      <c r="B70" s="23"/>
      <c r="C70" s="23">
        <v>13500</v>
      </c>
      <c r="D70" s="19"/>
    </row>
    <row r="71" spans="1:4" x14ac:dyDescent="0.25">
      <c r="A71" s="13"/>
      <c r="D71" s="19"/>
    </row>
    <row r="72" spans="1:4" x14ac:dyDescent="0.25">
      <c r="A72" s="13"/>
      <c r="D72" s="19"/>
    </row>
    <row r="73" spans="1:4" x14ac:dyDescent="0.25">
      <c r="A73" s="13"/>
      <c r="D73" s="19"/>
    </row>
    <row r="74" spans="1:4" x14ac:dyDescent="0.25">
      <c r="B74" s="5"/>
      <c r="C74" s="5"/>
    </row>
    <row r="75" spans="1:4" x14ac:dyDescent="0.25">
      <c r="A75" s="373" t="s">
        <v>157</v>
      </c>
      <c r="B75" s="373"/>
      <c r="C75" s="373"/>
      <c r="D75" s="19"/>
    </row>
    <row r="76" spans="1:4" x14ac:dyDescent="0.25">
      <c r="A76" s="372" t="s">
        <v>158</v>
      </c>
      <c r="B76" s="372"/>
      <c r="C76" s="372"/>
      <c r="D76" s="19"/>
    </row>
    <row r="77" spans="1:4" x14ac:dyDescent="0.25">
      <c r="A77" s="372" t="s">
        <v>175</v>
      </c>
      <c r="B77" s="372"/>
      <c r="C77" s="372"/>
      <c r="D77" s="19"/>
    </row>
    <row r="78" spans="1:4" x14ac:dyDescent="0.25">
      <c r="A78" s="20" t="s">
        <v>5</v>
      </c>
      <c r="B78" s="21" t="s">
        <v>56</v>
      </c>
      <c r="C78" s="21" t="s">
        <v>57</v>
      </c>
      <c r="D78" s="19"/>
    </row>
    <row r="79" spans="1:4" x14ac:dyDescent="0.25">
      <c r="A79" s="22" t="s">
        <v>34</v>
      </c>
      <c r="B79" s="23">
        <v>17000</v>
      </c>
      <c r="C79" s="23"/>
      <c r="D79" s="19"/>
    </row>
    <row r="80" spans="1:4" x14ac:dyDescent="0.25">
      <c r="A80" s="22" t="s">
        <v>6</v>
      </c>
      <c r="B80" s="23">
        <v>322</v>
      </c>
      <c r="C80" s="23"/>
      <c r="D80" s="19"/>
    </row>
    <row r="81" spans="1:4" x14ac:dyDescent="0.25">
      <c r="A81" s="22" t="s">
        <v>180</v>
      </c>
      <c r="B81" s="23"/>
      <c r="C81" s="23">
        <v>17322</v>
      </c>
      <c r="D81" s="19"/>
    </row>
    <row r="82" spans="1:4" x14ac:dyDescent="0.25">
      <c r="A82" s="13"/>
      <c r="D82" s="19"/>
    </row>
    <row r="83" spans="1:4" x14ac:dyDescent="0.25">
      <c r="A83" s="13"/>
      <c r="D83" s="19"/>
    </row>
    <row r="84" spans="1:4" x14ac:dyDescent="0.25">
      <c r="A84" s="13"/>
      <c r="D84" s="19"/>
    </row>
    <row r="85" spans="1:4" x14ac:dyDescent="0.25">
      <c r="B85" s="5"/>
      <c r="C85" s="5"/>
    </row>
    <row r="86" spans="1:4" x14ac:dyDescent="0.25">
      <c r="B86" s="5"/>
      <c r="C86" s="5"/>
    </row>
    <row r="87" spans="1:4" x14ac:dyDescent="0.25">
      <c r="B87" s="5"/>
      <c r="C87" s="5"/>
    </row>
    <row r="88" spans="1:4" x14ac:dyDescent="0.25">
      <c r="B88" s="5"/>
      <c r="C88" s="5"/>
    </row>
    <row r="89" spans="1:4" x14ac:dyDescent="0.25">
      <c r="B89" s="5"/>
      <c r="C89" s="5"/>
    </row>
    <row r="90" spans="1:4" x14ac:dyDescent="0.25">
      <c r="B90" s="5"/>
      <c r="C90" s="5"/>
    </row>
    <row r="91" spans="1:4" x14ac:dyDescent="0.25">
      <c r="B91" s="5"/>
      <c r="C91" s="5"/>
    </row>
    <row r="92" spans="1:4" x14ac:dyDescent="0.25">
      <c r="B92" s="5"/>
      <c r="C92" s="5"/>
    </row>
    <row r="103" spans="1:4" x14ac:dyDescent="0.25">
      <c r="A103" s="372" t="s">
        <v>157</v>
      </c>
      <c r="B103" s="372"/>
      <c r="C103" s="372"/>
      <c r="D103" s="19"/>
    </row>
    <row r="104" spans="1:4" x14ac:dyDescent="0.25">
      <c r="A104" s="372" t="s">
        <v>158</v>
      </c>
      <c r="B104" s="372"/>
      <c r="C104" s="372"/>
      <c r="D104" s="19"/>
    </row>
    <row r="105" spans="1:4" x14ac:dyDescent="0.25">
      <c r="A105" s="372" t="s">
        <v>177</v>
      </c>
      <c r="B105" s="372"/>
      <c r="C105" s="372"/>
      <c r="D105" s="19"/>
    </row>
    <row r="106" spans="1:4" x14ac:dyDescent="0.25">
      <c r="A106" s="20" t="s">
        <v>5</v>
      </c>
      <c r="B106" s="21" t="s">
        <v>56</v>
      </c>
      <c r="C106" s="21" t="s">
        <v>57</v>
      </c>
      <c r="D106" s="19"/>
    </row>
    <row r="107" spans="1:4" x14ac:dyDescent="0.25">
      <c r="A107" s="22" t="s">
        <v>100</v>
      </c>
      <c r="B107" s="23">
        <v>20</v>
      </c>
      <c r="C107" s="23"/>
      <c r="D107" s="19"/>
    </row>
    <row r="108" spans="1:4" x14ac:dyDescent="0.25">
      <c r="A108" s="22" t="s">
        <v>98</v>
      </c>
      <c r="B108" s="23">
        <v>300</v>
      </c>
      <c r="C108" s="23"/>
      <c r="D108" s="19"/>
    </row>
    <row r="109" spans="1:4" x14ac:dyDescent="0.25">
      <c r="A109" s="22" t="s">
        <v>19</v>
      </c>
      <c r="B109" s="23">
        <v>30</v>
      </c>
      <c r="C109" s="23"/>
      <c r="D109" s="19"/>
    </row>
    <row r="110" spans="1:4" x14ac:dyDescent="0.25">
      <c r="A110" s="22" t="s">
        <v>180</v>
      </c>
      <c r="B110" s="23"/>
      <c r="C110" s="23">
        <v>350</v>
      </c>
      <c r="D110" s="19"/>
    </row>
    <row r="111" spans="1:4" x14ac:dyDescent="0.25">
      <c r="A111" s="13"/>
      <c r="D111" s="19"/>
    </row>
    <row r="112" spans="1:4" x14ac:dyDescent="0.25">
      <c r="A112" s="13"/>
      <c r="D112" s="19"/>
    </row>
    <row r="113" spans="1:4" x14ac:dyDescent="0.25">
      <c r="A113" s="13"/>
      <c r="D113" s="19"/>
    </row>
    <row r="115" spans="1:4" x14ac:dyDescent="0.25">
      <c r="A115" s="372" t="s">
        <v>157</v>
      </c>
      <c r="B115" s="372"/>
      <c r="C115" s="372"/>
      <c r="D115" s="19"/>
    </row>
    <row r="116" spans="1:4" x14ac:dyDescent="0.25">
      <c r="A116" s="372" t="s">
        <v>158</v>
      </c>
      <c r="B116" s="372"/>
      <c r="C116" s="372"/>
      <c r="D116" s="19"/>
    </row>
    <row r="117" spans="1:4" x14ac:dyDescent="0.25">
      <c r="A117" s="372" t="s">
        <v>184</v>
      </c>
      <c r="B117" s="372"/>
      <c r="C117" s="372"/>
      <c r="D117" s="19"/>
    </row>
    <row r="118" spans="1:4" x14ac:dyDescent="0.25">
      <c r="A118" s="20" t="s">
        <v>5</v>
      </c>
      <c r="B118" s="21" t="s">
        <v>56</v>
      </c>
      <c r="C118" s="21" t="s">
        <v>57</v>
      </c>
      <c r="D118" s="19"/>
    </row>
    <row r="119" spans="1:4" x14ac:dyDescent="0.25">
      <c r="A119" s="22" t="s">
        <v>63</v>
      </c>
      <c r="B119" s="23">
        <v>5500</v>
      </c>
      <c r="C119" s="23"/>
      <c r="D119" s="19"/>
    </row>
    <row r="120" spans="1:4" x14ac:dyDescent="0.25">
      <c r="A120" s="22" t="s">
        <v>100</v>
      </c>
      <c r="B120" s="23">
        <v>80</v>
      </c>
      <c r="C120" s="23"/>
      <c r="D120" s="19"/>
    </row>
    <row r="121" spans="1:4" x14ac:dyDescent="0.25">
      <c r="A121" s="22" t="s">
        <v>83</v>
      </c>
      <c r="B121" s="23">
        <v>530</v>
      </c>
      <c r="C121" s="23"/>
      <c r="D121" s="19"/>
    </row>
    <row r="122" spans="1:4" x14ac:dyDescent="0.25">
      <c r="A122" s="22" t="s">
        <v>178</v>
      </c>
      <c r="B122" s="23">
        <v>4091</v>
      </c>
      <c r="C122" s="23"/>
      <c r="D122" s="19"/>
    </row>
    <row r="123" spans="1:4" x14ac:dyDescent="0.25">
      <c r="A123" s="22" t="s">
        <v>6</v>
      </c>
      <c r="B123" s="23">
        <v>185</v>
      </c>
      <c r="C123" s="23"/>
      <c r="D123" s="19"/>
    </row>
    <row r="124" spans="1:4" x14ac:dyDescent="0.25">
      <c r="A124" s="22" t="s">
        <v>182</v>
      </c>
      <c r="B124" s="23"/>
      <c r="C124" s="23">
        <v>10386</v>
      </c>
      <c r="D124" s="19"/>
    </row>
    <row r="125" spans="1:4" x14ac:dyDescent="0.25">
      <c r="A125" s="13"/>
      <c r="D125" s="19"/>
    </row>
    <row r="126" spans="1:4" x14ac:dyDescent="0.25">
      <c r="A126" s="13"/>
      <c r="D126" s="19"/>
    </row>
    <row r="127" spans="1:4" x14ac:dyDescent="0.25">
      <c r="A127" s="13"/>
      <c r="D127" s="19"/>
    </row>
    <row r="129" spans="1:4" x14ac:dyDescent="0.25">
      <c r="A129" s="372" t="s">
        <v>157</v>
      </c>
      <c r="B129" s="372"/>
      <c r="C129" s="372"/>
      <c r="D129" s="19"/>
    </row>
    <row r="130" spans="1:4" x14ac:dyDescent="0.25">
      <c r="A130" s="372" t="s">
        <v>158</v>
      </c>
      <c r="B130" s="372"/>
      <c r="C130" s="372"/>
      <c r="D130" s="19"/>
    </row>
    <row r="131" spans="1:4" x14ac:dyDescent="0.25">
      <c r="A131" s="372" t="s">
        <v>187</v>
      </c>
      <c r="B131" s="372"/>
      <c r="C131" s="372"/>
      <c r="D131" s="19"/>
    </row>
    <row r="132" spans="1:4" x14ac:dyDescent="0.25">
      <c r="A132" s="20" t="s">
        <v>5</v>
      </c>
      <c r="B132" s="21" t="s">
        <v>56</v>
      </c>
      <c r="C132" s="21" t="s">
        <v>57</v>
      </c>
      <c r="D132" s="19"/>
    </row>
    <row r="133" spans="1:4" x14ac:dyDescent="0.25">
      <c r="A133" s="22" t="s">
        <v>39</v>
      </c>
      <c r="B133" s="23">
        <v>91700</v>
      </c>
      <c r="C133" s="23"/>
      <c r="D133" s="19"/>
    </row>
    <row r="134" spans="1:4" x14ac:dyDescent="0.25">
      <c r="A134" s="22" t="s">
        <v>100</v>
      </c>
      <c r="B134" s="23">
        <f>200+200+900+200+200+100+100</f>
        <v>1900</v>
      </c>
      <c r="C134" s="23"/>
      <c r="D134" s="19"/>
    </row>
    <row r="135" spans="1:4" x14ac:dyDescent="0.25">
      <c r="A135" s="22" t="s">
        <v>6</v>
      </c>
      <c r="B135" s="23">
        <f>266+266+266+266+264+264</f>
        <v>1592</v>
      </c>
      <c r="C135" s="23"/>
      <c r="D135" s="19"/>
    </row>
    <row r="136" spans="1:4" x14ac:dyDescent="0.25">
      <c r="A136" s="22" t="s">
        <v>82</v>
      </c>
      <c r="B136" s="23">
        <v>700</v>
      </c>
      <c r="C136" s="23"/>
      <c r="D136" s="19"/>
    </row>
    <row r="137" spans="1:4" x14ac:dyDescent="0.25">
      <c r="A137" s="22" t="s">
        <v>185</v>
      </c>
      <c r="B137" s="23">
        <v>600</v>
      </c>
      <c r="C137" s="23"/>
      <c r="D137" s="19"/>
    </row>
    <row r="138" spans="1:4" x14ac:dyDescent="0.25">
      <c r="A138" s="22" t="s">
        <v>181</v>
      </c>
      <c r="B138" s="23"/>
      <c r="C138" s="23">
        <v>96492</v>
      </c>
      <c r="D138" s="19"/>
    </row>
    <row r="139" spans="1:4" x14ac:dyDescent="0.25">
      <c r="A139" s="13"/>
      <c r="B139" s="13"/>
      <c r="C139" s="13"/>
      <c r="D139" s="19"/>
    </row>
    <row r="140" spans="1:4" x14ac:dyDescent="0.25">
      <c r="A140" s="13"/>
      <c r="D140" s="19"/>
    </row>
    <row r="141" spans="1:4" x14ac:dyDescent="0.25">
      <c r="A141" s="13"/>
      <c r="D141" s="19"/>
    </row>
    <row r="143" spans="1:4" x14ac:dyDescent="0.25">
      <c r="A143" s="372" t="s">
        <v>157</v>
      </c>
      <c r="B143" s="372"/>
      <c r="C143" s="372"/>
      <c r="D143" s="19"/>
    </row>
    <row r="144" spans="1:4" x14ac:dyDescent="0.25">
      <c r="A144" s="372" t="s">
        <v>158</v>
      </c>
      <c r="B144" s="372"/>
      <c r="C144" s="372"/>
      <c r="D144" s="19"/>
    </row>
    <row r="145" spans="1:4" x14ac:dyDescent="0.25">
      <c r="A145" s="372" t="s">
        <v>190</v>
      </c>
      <c r="B145" s="372"/>
      <c r="C145" s="372"/>
      <c r="D145" s="19"/>
    </row>
    <row r="146" spans="1:4" x14ac:dyDescent="0.25">
      <c r="A146" s="20" t="s">
        <v>5</v>
      </c>
      <c r="B146" s="21" t="s">
        <v>56</v>
      </c>
      <c r="C146" s="21" t="s">
        <v>57</v>
      </c>
      <c r="D146" s="19"/>
    </row>
    <row r="147" spans="1:4" x14ac:dyDescent="0.25">
      <c r="A147" s="22" t="s">
        <v>100</v>
      </c>
      <c r="B147" s="23">
        <f>28000+6000</f>
        <v>34000</v>
      </c>
      <c r="C147" s="23"/>
      <c r="D147" s="19"/>
    </row>
    <row r="148" spans="1:4" x14ac:dyDescent="0.25">
      <c r="A148" s="22" t="s">
        <v>63</v>
      </c>
      <c r="B148" s="23">
        <v>3600</v>
      </c>
      <c r="C148" s="23"/>
      <c r="D148" s="19"/>
    </row>
    <row r="149" spans="1:4" x14ac:dyDescent="0.25">
      <c r="A149" s="22" t="s">
        <v>191</v>
      </c>
      <c r="B149" s="23">
        <v>3000</v>
      </c>
      <c r="C149" s="23"/>
      <c r="D149" s="19"/>
    </row>
    <row r="150" spans="1:4" x14ac:dyDescent="0.25">
      <c r="A150" s="22" t="s">
        <v>180</v>
      </c>
      <c r="B150" s="23"/>
      <c r="C150" s="23">
        <v>40600</v>
      </c>
      <c r="D150" s="19"/>
    </row>
    <row r="151" spans="1:4" x14ac:dyDescent="0.25">
      <c r="A151" s="13"/>
      <c r="D151" s="19"/>
    </row>
    <row r="152" spans="1:4" x14ac:dyDescent="0.25">
      <c r="A152" s="13"/>
      <c r="B152" s="13"/>
      <c r="C152" s="13"/>
      <c r="D152" s="19"/>
    </row>
    <row r="153" spans="1:4" x14ac:dyDescent="0.25">
      <c r="A153" s="13"/>
      <c r="C153" s="13"/>
      <c r="D153" s="19"/>
    </row>
    <row r="155" spans="1:4" x14ac:dyDescent="0.25">
      <c r="A155" s="372" t="s">
        <v>157</v>
      </c>
      <c r="B155" s="372"/>
      <c r="C155" s="372"/>
      <c r="D155" s="19"/>
    </row>
    <row r="156" spans="1:4" x14ac:dyDescent="0.25">
      <c r="A156" s="372" t="s">
        <v>158</v>
      </c>
      <c r="B156" s="372"/>
      <c r="C156" s="372"/>
      <c r="D156" s="19"/>
    </row>
    <row r="157" spans="1:4" x14ac:dyDescent="0.25">
      <c r="A157" s="372" t="s">
        <v>193</v>
      </c>
      <c r="B157" s="372"/>
      <c r="C157" s="372"/>
      <c r="D157" s="19"/>
    </row>
    <row r="158" spans="1:4" x14ac:dyDescent="0.25">
      <c r="A158" s="20" t="s">
        <v>5</v>
      </c>
      <c r="B158" s="21" t="s">
        <v>56</v>
      </c>
      <c r="C158" s="21" t="s">
        <v>57</v>
      </c>
      <c r="D158" s="19"/>
    </row>
    <row r="159" spans="1:4" x14ac:dyDescent="0.25">
      <c r="A159" s="22" t="s">
        <v>100</v>
      </c>
      <c r="B159" s="23">
        <v>1010</v>
      </c>
      <c r="C159" s="23"/>
      <c r="D159" s="19"/>
    </row>
    <row r="160" spans="1:4" x14ac:dyDescent="0.25">
      <c r="A160" s="22" t="s">
        <v>63</v>
      </c>
      <c r="B160" s="23">
        <v>140</v>
      </c>
      <c r="C160" s="23"/>
      <c r="D160" s="19"/>
    </row>
    <row r="161" spans="1:4" x14ac:dyDescent="0.25">
      <c r="A161" s="22" t="s">
        <v>180</v>
      </c>
      <c r="B161" s="23"/>
      <c r="C161" s="23">
        <v>1150</v>
      </c>
      <c r="D161" s="19"/>
    </row>
    <row r="162" spans="1:4" x14ac:dyDescent="0.25">
      <c r="A162" s="13"/>
      <c r="D162" s="19"/>
    </row>
    <row r="163" spans="1:4" x14ac:dyDescent="0.25">
      <c r="A163" s="13"/>
      <c r="D163" s="19"/>
    </row>
    <row r="164" spans="1:4" x14ac:dyDescent="0.25">
      <c r="A164" s="13"/>
      <c r="D164" s="19"/>
    </row>
    <row r="166" spans="1:4" x14ac:dyDescent="0.25">
      <c r="A166" s="372" t="s">
        <v>157</v>
      </c>
      <c r="B166" s="372"/>
      <c r="C166" s="372"/>
      <c r="D166" s="19"/>
    </row>
    <row r="167" spans="1:4" x14ac:dyDescent="0.25">
      <c r="A167" s="372" t="s">
        <v>158</v>
      </c>
      <c r="B167" s="372"/>
      <c r="C167" s="372"/>
      <c r="D167" s="19"/>
    </row>
    <row r="168" spans="1:4" x14ac:dyDescent="0.25">
      <c r="A168" s="372" t="s">
        <v>194</v>
      </c>
      <c r="B168" s="372"/>
      <c r="C168" s="372"/>
      <c r="D168" s="19"/>
    </row>
    <row r="169" spans="1:4" x14ac:dyDescent="0.25">
      <c r="A169" s="20" t="s">
        <v>5</v>
      </c>
      <c r="B169" s="21" t="s">
        <v>56</v>
      </c>
      <c r="C169" s="21" t="s">
        <v>57</v>
      </c>
      <c r="D169" s="19"/>
    </row>
    <row r="170" spans="1:4" x14ac:dyDescent="0.25">
      <c r="A170" s="22" t="s">
        <v>188</v>
      </c>
      <c r="B170" s="23">
        <v>12100</v>
      </c>
      <c r="C170" s="23"/>
      <c r="D170" s="19"/>
    </row>
    <row r="171" spans="1:4" x14ac:dyDescent="0.25">
      <c r="A171" s="22" t="s">
        <v>6</v>
      </c>
      <c r="B171" s="23">
        <f>224+700</f>
        <v>924</v>
      </c>
      <c r="C171" s="23"/>
      <c r="D171" s="19"/>
    </row>
    <row r="172" spans="1:4" x14ac:dyDescent="0.25">
      <c r="A172" s="22" t="s">
        <v>69</v>
      </c>
      <c r="B172" s="23">
        <v>6000</v>
      </c>
      <c r="C172" s="23"/>
      <c r="D172" s="19"/>
    </row>
    <row r="173" spans="1:4" x14ac:dyDescent="0.25">
      <c r="A173" s="22" t="s">
        <v>76</v>
      </c>
      <c r="B173" s="23">
        <f>21000+6000</f>
        <v>27000</v>
      </c>
      <c r="C173" s="23"/>
      <c r="D173" s="19"/>
    </row>
    <row r="174" spans="1:4" x14ac:dyDescent="0.25">
      <c r="A174" s="22" t="s">
        <v>86</v>
      </c>
      <c r="B174" s="23">
        <v>1799</v>
      </c>
      <c r="C174" s="23"/>
      <c r="D174" s="19"/>
    </row>
    <row r="175" spans="1:4" x14ac:dyDescent="0.25">
      <c r="A175" s="22" t="s">
        <v>182</v>
      </c>
      <c r="B175" s="23"/>
      <c r="C175" s="23">
        <v>47823</v>
      </c>
      <c r="D175" s="19"/>
    </row>
    <row r="176" spans="1:4" x14ac:dyDescent="0.25">
      <c r="A176" s="13"/>
      <c r="D176" s="19"/>
    </row>
    <row r="177" spans="1:4" x14ac:dyDescent="0.25">
      <c r="A177" s="13"/>
      <c r="D177" s="19"/>
    </row>
    <row r="178" spans="1:4" x14ac:dyDescent="0.25">
      <c r="A178" s="13"/>
      <c r="D178" s="19"/>
    </row>
    <row r="180" spans="1:4" x14ac:dyDescent="0.25">
      <c r="A180" s="372" t="s">
        <v>157</v>
      </c>
      <c r="B180" s="372"/>
      <c r="C180" s="372"/>
      <c r="D180" s="19"/>
    </row>
    <row r="181" spans="1:4" x14ac:dyDescent="0.25">
      <c r="A181" s="372" t="s">
        <v>158</v>
      </c>
      <c r="B181" s="372"/>
      <c r="C181" s="372"/>
      <c r="D181" s="19"/>
    </row>
    <row r="182" spans="1:4" x14ac:dyDescent="0.25">
      <c r="A182" s="372" t="s">
        <v>212</v>
      </c>
      <c r="B182" s="372"/>
      <c r="C182" s="372"/>
      <c r="D182" s="19"/>
    </row>
    <row r="183" spans="1:4" x14ac:dyDescent="0.25">
      <c r="A183" s="20" t="s">
        <v>5</v>
      </c>
      <c r="B183" s="21" t="s">
        <v>56</v>
      </c>
      <c r="C183" s="21" t="s">
        <v>57</v>
      </c>
      <c r="D183" s="19"/>
    </row>
    <row r="184" spans="1:4" x14ac:dyDescent="0.25">
      <c r="A184" s="22" t="s">
        <v>100</v>
      </c>
      <c r="B184" s="23">
        <v>3835</v>
      </c>
      <c r="C184" s="23"/>
      <c r="D184" s="19"/>
    </row>
    <row r="185" spans="1:4" x14ac:dyDescent="0.25">
      <c r="A185" s="22" t="s">
        <v>63</v>
      </c>
      <c r="B185" s="23">
        <v>640</v>
      </c>
      <c r="C185" s="23"/>
      <c r="D185" s="19"/>
    </row>
    <row r="186" spans="1:4" x14ac:dyDescent="0.25">
      <c r="A186" s="22" t="s">
        <v>86</v>
      </c>
      <c r="B186" s="23">
        <v>525</v>
      </c>
      <c r="C186" s="23"/>
      <c r="D186" s="19"/>
    </row>
    <row r="187" spans="1:4" x14ac:dyDescent="0.25">
      <c r="A187" s="22" t="s">
        <v>182</v>
      </c>
      <c r="B187" s="23"/>
      <c r="C187" s="23">
        <v>5000</v>
      </c>
      <c r="D187" s="19"/>
    </row>
    <row r="188" spans="1:4" x14ac:dyDescent="0.25">
      <c r="A188" s="13"/>
      <c r="D188" s="19"/>
    </row>
    <row r="189" spans="1:4" x14ac:dyDescent="0.25">
      <c r="A189" s="13"/>
      <c r="D189" s="19"/>
    </row>
    <row r="190" spans="1:4" x14ac:dyDescent="0.25">
      <c r="A190" s="13"/>
      <c r="D190" s="19"/>
    </row>
    <row r="192" spans="1:4" x14ac:dyDescent="0.25">
      <c r="A192" s="6"/>
      <c r="B192" s="6"/>
      <c r="C192" s="6"/>
    </row>
    <row r="193" spans="1:3" x14ac:dyDescent="0.25">
      <c r="A193" s="370" t="s">
        <v>157</v>
      </c>
      <c r="B193" s="370"/>
      <c r="C193" s="370"/>
    </row>
    <row r="194" spans="1:3" x14ac:dyDescent="0.25">
      <c r="A194" s="370" t="s">
        <v>158</v>
      </c>
      <c r="B194" s="370"/>
      <c r="C194" s="370"/>
    </row>
    <row r="195" spans="1:3" x14ac:dyDescent="0.25">
      <c r="A195" s="370" t="s">
        <v>270</v>
      </c>
      <c r="B195" s="370"/>
      <c r="C195" s="370"/>
    </row>
    <row r="196" spans="1:3" x14ac:dyDescent="0.25">
      <c r="A196" s="20" t="s">
        <v>5</v>
      </c>
      <c r="B196" s="21" t="s">
        <v>56</v>
      </c>
      <c r="C196" s="21" t="s">
        <v>57</v>
      </c>
    </row>
    <row r="197" spans="1:3" x14ac:dyDescent="0.25">
      <c r="A197" s="28" t="s">
        <v>76</v>
      </c>
      <c r="B197" s="23">
        <v>21000</v>
      </c>
      <c r="C197" s="23"/>
    </row>
    <row r="198" spans="1:3" x14ac:dyDescent="0.25">
      <c r="A198" s="28" t="s">
        <v>272</v>
      </c>
      <c r="B198" s="23">
        <f>175+840</f>
        <v>1015</v>
      </c>
      <c r="C198" s="23"/>
    </row>
    <row r="199" spans="1:3" x14ac:dyDescent="0.25">
      <c r="A199" s="28" t="s">
        <v>273</v>
      </c>
      <c r="B199" s="23">
        <v>2000</v>
      </c>
      <c r="C199" s="23"/>
    </row>
    <row r="200" spans="1:3" x14ac:dyDescent="0.25">
      <c r="A200" s="28" t="s">
        <v>6</v>
      </c>
      <c r="B200" s="23">
        <v>640</v>
      </c>
      <c r="C200" s="23"/>
    </row>
    <row r="201" spans="1:3" x14ac:dyDescent="0.25">
      <c r="A201" s="28" t="s">
        <v>35</v>
      </c>
      <c r="B201" s="23">
        <v>9825</v>
      </c>
      <c r="C201" s="23"/>
    </row>
    <row r="202" spans="1:3" x14ac:dyDescent="0.25">
      <c r="A202" s="28" t="s">
        <v>63</v>
      </c>
      <c r="B202" s="23">
        <v>350</v>
      </c>
      <c r="C202" s="23"/>
    </row>
    <row r="203" spans="1:3" x14ac:dyDescent="0.25">
      <c r="A203" s="28" t="s">
        <v>274</v>
      </c>
      <c r="B203" s="23">
        <v>66000</v>
      </c>
      <c r="C203" s="23"/>
    </row>
    <row r="204" spans="1:3" x14ac:dyDescent="0.25">
      <c r="A204" s="28" t="s">
        <v>275</v>
      </c>
      <c r="B204" s="23"/>
      <c r="C204" s="23">
        <v>32640</v>
      </c>
    </row>
    <row r="205" spans="1:3" x14ac:dyDescent="0.25">
      <c r="A205" s="28" t="s">
        <v>46</v>
      </c>
      <c r="B205" s="23"/>
      <c r="C205" s="23">
        <v>68190</v>
      </c>
    </row>
    <row r="206" spans="1:3" x14ac:dyDescent="0.25">
      <c r="A206" s="28"/>
      <c r="B206" s="29">
        <f>SUM(B197:B205)</f>
        <v>100830</v>
      </c>
      <c r="C206" s="29">
        <f>SUM(C204:C205)</f>
        <v>100830</v>
      </c>
    </row>
    <row r="209" spans="1:4" x14ac:dyDescent="0.25">
      <c r="A209" s="13"/>
      <c r="D209" s="19"/>
    </row>
    <row r="211" spans="1:4" x14ac:dyDescent="0.25">
      <c r="A211" s="370" t="s">
        <v>157</v>
      </c>
      <c r="B211" s="370"/>
      <c r="C211" s="370"/>
    </row>
    <row r="212" spans="1:4" x14ac:dyDescent="0.25">
      <c r="A212" s="370" t="s">
        <v>158</v>
      </c>
      <c r="B212" s="370"/>
      <c r="C212" s="370"/>
    </row>
    <row r="213" spans="1:4" x14ac:dyDescent="0.25">
      <c r="A213" s="370" t="s">
        <v>276</v>
      </c>
      <c r="B213" s="370"/>
      <c r="C213" s="370"/>
    </row>
    <row r="214" spans="1:4" x14ac:dyDescent="0.25">
      <c r="A214" s="20" t="s">
        <v>5</v>
      </c>
      <c r="B214" s="21" t="s">
        <v>56</v>
      </c>
      <c r="C214" s="21" t="s">
        <v>57</v>
      </c>
    </row>
    <row r="215" spans="1:4" x14ac:dyDescent="0.25">
      <c r="A215" s="28" t="s">
        <v>281</v>
      </c>
      <c r="B215" s="23">
        <v>35000</v>
      </c>
      <c r="C215" s="23"/>
    </row>
    <row r="216" spans="1:4" x14ac:dyDescent="0.25">
      <c r="A216" s="28" t="s">
        <v>282</v>
      </c>
      <c r="B216" s="23"/>
      <c r="C216" s="23">
        <v>35000</v>
      </c>
    </row>
    <row r="217" spans="1:4" x14ac:dyDescent="0.25">
      <c r="A217" s="27"/>
      <c r="B217" s="30"/>
      <c r="C217" s="30"/>
    </row>
    <row r="220" spans="1:4" x14ac:dyDescent="0.25">
      <c r="A220" s="13"/>
      <c r="D220" s="19"/>
    </row>
    <row r="223" spans="1:4" x14ac:dyDescent="0.25">
      <c r="A223" s="370" t="s">
        <v>157</v>
      </c>
      <c r="B223" s="370"/>
      <c r="C223" s="370"/>
    </row>
    <row r="224" spans="1:4" x14ac:dyDescent="0.25">
      <c r="A224" s="370" t="s">
        <v>158</v>
      </c>
      <c r="B224" s="370"/>
      <c r="C224" s="370"/>
    </row>
    <row r="225" spans="1:4" x14ac:dyDescent="0.25">
      <c r="A225" s="370" t="s">
        <v>277</v>
      </c>
      <c r="B225" s="370"/>
      <c r="C225" s="370"/>
    </row>
    <row r="226" spans="1:4" x14ac:dyDescent="0.25">
      <c r="A226" s="20" t="s">
        <v>5</v>
      </c>
      <c r="B226" s="21" t="s">
        <v>56</v>
      </c>
      <c r="C226" s="21" t="s">
        <v>57</v>
      </c>
    </row>
    <row r="227" spans="1:4" x14ac:dyDescent="0.25">
      <c r="A227" s="28" t="s">
        <v>281</v>
      </c>
      <c r="B227" s="23">
        <v>10000</v>
      </c>
      <c r="C227" s="23"/>
    </row>
    <row r="228" spans="1:4" x14ac:dyDescent="0.25">
      <c r="A228" s="28" t="s">
        <v>283</v>
      </c>
      <c r="B228" s="23"/>
      <c r="C228" s="23">
        <v>10000</v>
      </c>
    </row>
    <row r="229" spans="1:4" x14ac:dyDescent="0.25">
      <c r="A229" s="27"/>
      <c r="B229" s="30"/>
      <c r="C229" s="30"/>
    </row>
    <row r="233" spans="1:4" x14ac:dyDescent="0.25">
      <c r="A233" s="13"/>
      <c r="D233" s="19"/>
    </row>
    <row r="234" spans="1:4" x14ac:dyDescent="0.25">
      <c r="A234" s="370" t="s">
        <v>157</v>
      </c>
      <c r="B234" s="370"/>
      <c r="C234" s="370"/>
    </row>
    <row r="235" spans="1:4" x14ac:dyDescent="0.25">
      <c r="A235" s="370" t="s">
        <v>158</v>
      </c>
      <c r="B235" s="370"/>
      <c r="C235" s="370"/>
    </row>
    <row r="236" spans="1:4" x14ac:dyDescent="0.25">
      <c r="A236" s="370" t="s">
        <v>278</v>
      </c>
      <c r="B236" s="370"/>
      <c r="C236" s="370"/>
    </row>
    <row r="237" spans="1:4" x14ac:dyDescent="0.25">
      <c r="A237" s="20" t="s">
        <v>5</v>
      </c>
      <c r="B237" s="21" t="s">
        <v>56</v>
      </c>
      <c r="C237" s="21" t="s">
        <v>57</v>
      </c>
    </row>
    <row r="238" spans="1:4" x14ac:dyDescent="0.25">
      <c r="A238" s="28" t="s">
        <v>281</v>
      </c>
      <c r="B238" s="23">
        <v>3000</v>
      </c>
      <c r="C238" s="23"/>
    </row>
    <row r="239" spans="1:4" x14ac:dyDescent="0.25">
      <c r="A239" s="28" t="s">
        <v>284</v>
      </c>
      <c r="B239" s="23"/>
      <c r="C239" s="23">
        <v>3000</v>
      </c>
    </row>
    <row r="240" spans="1:4" x14ac:dyDescent="0.25">
      <c r="A240" s="27"/>
      <c r="B240" s="30"/>
      <c r="C240" s="30"/>
    </row>
    <row r="242" spans="1:4" x14ac:dyDescent="0.25">
      <c r="A242" s="13"/>
      <c r="D242" s="19"/>
    </row>
    <row r="247" spans="1:4" x14ac:dyDescent="0.25">
      <c r="A247" s="370" t="s">
        <v>157</v>
      </c>
      <c r="B247" s="370"/>
      <c r="C247" s="370"/>
    </row>
    <row r="248" spans="1:4" x14ac:dyDescent="0.25">
      <c r="A248" s="370" t="s">
        <v>158</v>
      </c>
      <c r="B248" s="370"/>
      <c r="C248" s="370"/>
    </row>
    <row r="249" spans="1:4" x14ac:dyDescent="0.25">
      <c r="A249" s="370" t="s">
        <v>308</v>
      </c>
      <c r="B249" s="370"/>
      <c r="C249" s="370"/>
    </row>
    <row r="250" spans="1:4" x14ac:dyDescent="0.25">
      <c r="A250" s="39" t="s">
        <v>5</v>
      </c>
      <c r="B250" s="21" t="s">
        <v>56</v>
      </c>
      <c r="C250" s="21" t="s">
        <v>57</v>
      </c>
    </row>
    <row r="251" spans="1:4" x14ac:dyDescent="0.25">
      <c r="A251" s="28" t="s">
        <v>306</v>
      </c>
      <c r="B251" s="23">
        <v>84648</v>
      </c>
      <c r="C251" s="23"/>
    </row>
    <row r="252" spans="1:4" x14ac:dyDescent="0.25">
      <c r="A252" s="28" t="s">
        <v>307</v>
      </c>
      <c r="B252" s="23">
        <v>8450</v>
      </c>
      <c r="C252" s="23"/>
    </row>
    <row r="253" spans="1:4" x14ac:dyDescent="0.25">
      <c r="A253" s="28" t="s">
        <v>309</v>
      </c>
      <c r="B253" s="23"/>
      <c r="C253" s="23">
        <v>58000</v>
      </c>
    </row>
    <row r="254" spans="1:4" x14ac:dyDescent="0.25">
      <c r="A254" s="28" t="s">
        <v>46</v>
      </c>
      <c r="B254" s="23"/>
      <c r="C254" s="23">
        <v>35098</v>
      </c>
    </row>
    <row r="255" spans="1:4" x14ac:dyDescent="0.25">
      <c r="A255" s="28"/>
      <c r="B255" s="29">
        <f>SUM(B251:B254)</f>
        <v>93098</v>
      </c>
      <c r="C255" s="29">
        <f>SUM(C253:C254)</f>
        <v>93098</v>
      </c>
    </row>
    <row r="256" spans="1:4" x14ac:dyDescent="0.25">
      <c r="B256" s="16"/>
      <c r="C256" s="16"/>
    </row>
    <row r="257" spans="1:4" x14ac:dyDescent="0.25">
      <c r="B257" s="16"/>
      <c r="C257" s="16"/>
    </row>
    <row r="259" spans="1:4" x14ac:dyDescent="0.25">
      <c r="A259" s="13"/>
      <c r="D259" s="19"/>
    </row>
    <row r="260" spans="1:4" x14ac:dyDescent="0.25">
      <c r="A260" s="13"/>
      <c r="D260" s="19"/>
    </row>
    <row r="261" spans="1:4" x14ac:dyDescent="0.25">
      <c r="A261" s="13"/>
      <c r="D261" s="19"/>
    </row>
    <row r="262" spans="1:4" x14ac:dyDescent="0.25">
      <c r="A262" s="370" t="s">
        <v>157</v>
      </c>
      <c r="B262" s="370"/>
      <c r="C262" s="370"/>
    </row>
    <row r="263" spans="1:4" x14ac:dyDescent="0.25">
      <c r="A263" s="370" t="s">
        <v>158</v>
      </c>
      <c r="B263" s="370"/>
      <c r="C263" s="370"/>
    </row>
    <row r="264" spans="1:4" x14ac:dyDescent="0.25">
      <c r="A264" s="370" t="s">
        <v>476</v>
      </c>
      <c r="B264" s="370"/>
      <c r="C264" s="370"/>
    </row>
    <row r="265" spans="1:4" x14ac:dyDescent="0.25">
      <c r="A265" s="57" t="s">
        <v>5</v>
      </c>
      <c r="B265" s="21" t="s">
        <v>56</v>
      </c>
      <c r="C265" s="21" t="s">
        <v>57</v>
      </c>
    </row>
    <row r="266" spans="1:4" x14ac:dyDescent="0.25">
      <c r="A266" s="28" t="s">
        <v>477</v>
      </c>
      <c r="B266" s="23">
        <v>20000</v>
      </c>
      <c r="C266" s="23"/>
    </row>
    <row r="267" spans="1:4" x14ac:dyDescent="0.25">
      <c r="A267" s="28" t="s">
        <v>478</v>
      </c>
      <c r="B267" s="23">
        <v>10000</v>
      </c>
      <c r="C267" s="23"/>
    </row>
    <row r="268" spans="1:4" x14ac:dyDescent="0.25">
      <c r="A268" s="28" t="s">
        <v>479</v>
      </c>
      <c r="B268" s="23">
        <v>15000</v>
      </c>
      <c r="C268" s="23"/>
    </row>
    <row r="269" spans="1:4" x14ac:dyDescent="0.25">
      <c r="A269" s="28" t="s">
        <v>350</v>
      </c>
      <c r="B269" s="23"/>
      <c r="C269" s="23">
        <v>20000</v>
      </c>
    </row>
    <row r="270" spans="1:4" x14ac:dyDescent="0.25">
      <c r="A270" s="28" t="s">
        <v>355</v>
      </c>
      <c r="B270" s="23"/>
      <c r="C270" s="23">
        <v>10000</v>
      </c>
    </row>
    <row r="271" spans="1:4" x14ac:dyDescent="0.25">
      <c r="A271" s="28" t="s">
        <v>480</v>
      </c>
      <c r="B271" s="23"/>
      <c r="C271" s="23">
        <v>15000</v>
      </c>
    </row>
    <row r="272" spans="1:4" x14ac:dyDescent="0.25">
      <c r="A272" s="28"/>
      <c r="B272" s="29">
        <f>SUM(B266:B271)</f>
        <v>45000</v>
      </c>
      <c r="C272" s="29">
        <f>SUM(C269:C271)</f>
        <v>45000</v>
      </c>
    </row>
    <row r="273" spans="1:4" x14ac:dyDescent="0.25">
      <c r="A273" s="27"/>
      <c r="B273" s="60"/>
      <c r="C273" s="60"/>
    </row>
    <row r="274" spans="1:4" x14ac:dyDescent="0.25">
      <c r="A274" s="27"/>
      <c r="B274" s="60"/>
      <c r="C274" s="60"/>
    </row>
    <row r="280" spans="1:4" x14ac:dyDescent="0.25">
      <c r="A280" s="13"/>
      <c r="D280" s="19"/>
    </row>
    <row r="281" spans="1:4" x14ac:dyDescent="0.25">
      <c r="A281" s="13"/>
      <c r="D281" s="19"/>
    </row>
    <row r="282" spans="1:4" x14ac:dyDescent="0.25">
      <c r="A282" s="13"/>
      <c r="D282" s="19"/>
    </row>
    <row r="283" spans="1:4" x14ac:dyDescent="0.25">
      <c r="A283" s="13"/>
      <c r="D283" s="19"/>
    </row>
    <row r="284" spans="1:4" x14ac:dyDescent="0.25">
      <c r="A284" s="13"/>
      <c r="D284" s="19"/>
    </row>
    <row r="286" spans="1:4" x14ac:dyDescent="0.25">
      <c r="A286" s="370" t="s">
        <v>157</v>
      </c>
      <c r="B286" s="370"/>
      <c r="C286" s="370"/>
    </row>
    <row r="287" spans="1:4" x14ac:dyDescent="0.25">
      <c r="A287" s="370" t="s">
        <v>158</v>
      </c>
      <c r="B287" s="370"/>
      <c r="C287" s="370"/>
    </row>
    <row r="288" spans="1:4" x14ac:dyDescent="0.25">
      <c r="A288" s="370" t="s">
        <v>483</v>
      </c>
      <c r="B288" s="370"/>
      <c r="C288" s="370"/>
    </row>
    <row r="289" spans="1:4" x14ac:dyDescent="0.25">
      <c r="A289" s="57" t="s">
        <v>5</v>
      </c>
      <c r="B289" s="21" t="s">
        <v>56</v>
      </c>
      <c r="C289" s="21" t="s">
        <v>57</v>
      </c>
    </row>
    <row r="290" spans="1:4" x14ac:dyDescent="0.25">
      <c r="A290" s="28" t="s">
        <v>63</v>
      </c>
      <c r="B290" s="23">
        <v>400</v>
      </c>
      <c r="C290" s="23"/>
    </row>
    <row r="291" spans="1:4" x14ac:dyDescent="0.25">
      <c r="A291" s="28" t="s">
        <v>35</v>
      </c>
      <c r="B291" s="23">
        <v>300</v>
      </c>
      <c r="C291" s="23"/>
    </row>
    <row r="292" spans="1:4" x14ac:dyDescent="0.25">
      <c r="A292" s="28" t="s">
        <v>393</v>
      </c>
      <c r="B292" s="23">
        <v>142290</v>
      </c>
      <c r="C292" s="23"/>
    </row>
    <row r="293" spans="1:4" x14ac:dyDescent="0.25">
      <c r="A293" s="28" t="s">
        <v>394</v>
      </c>
      <c r="B293" s="23">
        <v>4000</v>
      </c>
      <c r="C293" s="23"/>
    </row>
    <row r="294" spans="1:4" x14ac:dyDescent="0.25">
      <c r="A294" s="28" t="s">
        <v>484</v>
      </c>
      <c r="B294" s="23">
        <v>10000</v>
      </c>
      <c r="C294" s="23"/>
    </row>
    <row r="295" spans="1:4" x14ac:dyDescent="0.25">
      <c r="A295" s="28" t="s">
        <v>485</v>
      </c>
      <c r="B295" s="23">
        <v>1500</v>
      </c>
      <c r="C295" s="23"/>
    </row>
    <row r="296" spans="1:4" x14ac:dyDescent="0.25">
      <c r="A296" s="28" t="s">
        <v>486</v>
      </c>
      <c r="B296" s="23">
        <v>1510</v>
      </c>
      <c r="C296" s="23"/>
    </row>
    <row r="297" spans="1:4" x14ac:dyDescent="0.25">
      <c r="A297" s="28" t="s">
        <v>180</v>
      </c>
      <c r="B297" s="23"/>
      <c r="C297" s="23">
        <v>160000</v>
      </c>
    </row>
    <row r="298" spans="1:4" x14ac:dyDescent="0.25">
      <c r="A298" s="28"/>
      <c r="B298" s="29">
        <f>SUM(B290:B297)</f>
        <v>160000</v>
      </c>
      <c r="C298" s="29">
        <f>SUM(C290:C297)</f>
        <v>160000</v>
      </c>
    </row>
    <row r="299" spans="1:4" x14ac:dyDescent="0.25">
      <c r="A299" s="27"/>
      <c r="B299" s="60"/>
      <c r="C299" s="60"/>
    </row>
    <row r="300" spans="1:4" x14ac:dyDescent="0.25">
      <c r="A300" s="27"/>
      <c r="B300" s="60"/>
      <c r="C300" s="60"/>
    </row>
    <row r="304" spans="1:4" x14ac:dyDescent="0.25">
      <c r="A304" s="13"/>
      <c r="D304" s="19"/>
    </row>
    <row r="305" spans="1:4" x14ac:dyDescent="0.25">
      <c r="A305" s="13"/>
      <c r="D305" s="19"/>
    </row>
    <row r="306" spans="1:4" x14ac:dyDescent="0.25">
      <c r="A306" s="13"/>
      <c r="D306" s="19"/>
    </row>
    <row r="307" spans="1:4" x14ac:dyDescent="0.25">
      <c r="A307" s="13"/>
      <c r="D307" s="19"/>
    </row>
    <row r="308" spans="1:4" x14ac:dyDescent="0.25">
      <c r="A308" s="13"/>
      <c r="D308" s="19"/>
    </row>
    <row r="309" spans="1:4" x14ac:dyDescent="0.25">
      <c r="A309" s="13"/>
      <c r="D309" s="19"/>
    </row>
    <row r="310" spans="1:4" x14ac:dyDescent="0.25">
      <c r="A310" s="13"/>
      <c r="D310" s="19"/>
    </row>
    <row r="311" spans="1:4" x14ac:dyDescent="0.25">
      <c r="A311" s="13"/>
      <c r="D311" s="19"/>
    </row>
    <row r="312" spans="1:4" x14ac:dyDescent="0.25">
      <c r="A312" s="13"/>
      <c r="D312" s="19"/>
    </row>
    <row r="313" spans="1:4" x14ac:dyDescent="0.25">
      <c r="A313" s="13"/>
      <c r="D313" s="19"/>
    </row>
    <row r="314" spans="1:4" x14ac:dyDescent="0.25">
      <c r="A314" s="370" t="s">
        <v>157</v>
      </c>
      <c r="B314" s="370"/>
      <c r="C314" s="370"/>
    </row>
    <row r="315" spans="1:4" x14ac:dyDescent="0.25">
      <c r="A315" s="370" t="s">
        <v>158</v>
      </c>
      <c r="B315" s="370"/>
      <c r="C315" s="370"/>
    </row>
    <row r="316" spans="1:4" x14ac:dyDescent="0.25">
      <c r="A316" s="370" t="s">
        <v>487</v>
      </c>
      <c r="B316" s="370"/>
      <c r="C316" s="370"/>
    </row>
    <row r="317" spans="1:4" x14ac:dyDescent="0.25">
      <c r="A317" s="57" t="s">
        <v>5</v>
      </c>
      <c r="B317" s="21" t="s">
        <v>56</v>
      </c>
      <c r="C317" s="21" t="s">
        <v>57</v>
      </c>
    </row>
    <row r="318" spans="1:4" x14ac:dyDescent="0.25">
      <c r="A318" s="28" t="s">
        <v>491</v>
      </c>
      <c r="B318" s="23">
        <v>22000</v>
      </c>
      <c r="C318" s="23"/>
    </row>
    <row r="319" spans="1:4" x14ac:dyDescent="0.25">
      <c r="A319" s="28" t="s">
        <v>76</v>
      </c>
      <c r="B319" s="23">
        <v>10000</v>
      </c>
      <c r="C319" s="23"/>
    </row>
    <row r="320" spans="1:4" x14ac:dyDescent="0.25">
      <c r="A320" s="28" t="s">
        <v>272</v>
      </c>
      <c r="B320" s="23">
        <v>1260</v>
      </c>
      <c r="C320" s="23"/>
    </row>
    <row r="321" spans="1:4" x14ac:dyDescent="0.25">
      <c r="A321" s="28" t="s">
        <v>35</v>
      </c>
      <c r="B321" s="23">
        <v>2600</v>
      </c>
      <c r="C321" s="23"/>
    </row>
    <row r="322" spans="1:4" x14ac:dyDescent="0.25">
      <c r="A322" s="28" t="s">
        <v>6</v>
      </c>
      <c r="B322" s="23">
        <v>100</v>
      </c>
      <c r="C322" s="23"/>
    </row>
    <row r="323" spans="1:4" x14ac:dyDescent="0.25">
      <c r="A323" s="28" t="s">
        <v>492</v>
      </c>
      <c r="B323" s="23">
        <v>4605</v>
      </c>
      <c r="C323" s="23"/>
    </row>
    <row r="324" spans="1:4" x14ac:dyDescent="0.25">
      <c r="A324" s="28" t="s">
        <v>63</v>
      </c>
      <c r="B324" s="23">
        <v>1410</v>
      </c>
      <c r="C324" s="23"/>
    </row>
    <row r="325" spans="1:4" x14ac:dyDescent="0.25">
      <c r="A325" s="28" t="s">
        <v>489</v>
      </c>
      <c r="B325" s="23">
        <v>2000</v>
      </c>
      <c r="C325" s="23"/>
    </row>
    <row r="326" spans="1:4" x14ac:dyDescent="0.25">
      <c r="A326" s="28" t="s">
        <v>493</v>
      </c>
      <c r="B326" s="23">
        <v>11600</v>
      </c>
      <c r="C326" s="23"/>
    </row>
    <row r="327" spans="1:4" x14ac:dyDescent="0.25">
      <c r="A327" s="28" t="s">
        <v>46</v>
      </c>
      <c r="B327" s="23"/>
      <c r="C327" s="23">
        <v>15475</v>
      </c>
    </row>
    <row r="328" spans="1:4" x14ac:dyDescent="0.25">
      <c r="A328" s="28" t="s">
        <v>494</v>
      </c>
      <c r="B328" s="23"/>
      <c r="C328" s="23">
        <v>40100</v>
      </c>
    </row>
    <row r="329" spans="1:4" x14ac:dyDescent="0.25">
      <c r="A329" s="28"/>
      <c r="B329" s="29">
        <f>SUM(B318:B328)</f>
        <v>55575</v>
      </c>
      <c r="C329" s="29">
        <f>SUM(C318:C328)</f>
        <v>55575</v>
      </c>
    </row>
    <row r="330" spans="1:4" x14ac:dyDescent="0.25">
      <c r="A330" s="27"/>
      <c r="B330" s="60"/>
      <c r="C330" s="60"/>
    </row>
    <row r="331" spans="1:4" x14ac:dyDescent="0.25">
      <c r="A331" s="27"/>
      <c r="B331" s="60"/>
      <c r="C331" s="60"/>
    </row>
    <row r="332" spans="1:4" x14ac:dyDescent="0.25">
      <c r="A332" s="27"/>
      <c r="B332" s="60"/>
      <c r="C332" s="60"/>
    </row>
    <row r="333" spans="1:4" x14ac:dyDescent="0.25">
      <c r="A333" s="27"/>
      <c r="B333" s="60"/>
      <c r="C333" s="60"/>
    </row>
    <row r="335" spans="1:4" x14ac:dyDescent="0.25">
      <c r="A335" s="13"/>
      <c r="D335" s="19"/>
    </row>
    <row r="338" spans="1:3" x14ac:dyDescent="0.25">
      <c r="A338" s="370" t="s">
        <v>157</v>
      </c>
      <c r="B338" s="370"/>
      <c r="C338" s="370"/>
    </row>
    <row r="339" spans="1:3" x14ac:dyDescent="0.25">
      <c r="A339" s="370" t="s">
        <v>158</v>
      </c>
      <c r="B339" s="370"/>
      <c r="C339" s="370"/>
    </row>
    <row r="340" spans="1:3" x14ac:dyDescent="0.25">
      <c r="A340" s="370" t="s">
        <v>503</v>
      </c>
      <c r="B340" s="370"/>
      <c r="C340" s="370"/>
    </row>
    <row r="341" spans="1:3" x14ac:dyDescent="0.25">
      <c r="A341" s="57" t="s">
        <v>5</v>
      </c>
      <c r="B341" s="21" t="s">
        <v>56</v>
      </c>
      <c r="C341" s="21" t="s">
        <v>57</v>
      </c>
    </row>
    <row r="342" spans="1:3" x14ac:dyDescent="0.25">
      <c r="A342" s="28" t="s">
        <v>355</v>
      </c>
      <c r="B342" s="23">
        <v>8000</v>
      </c>
      <c r="C342" s="23"/>
    </row>
    <row r="343" spans="1:3" x14ac:dyDescent="0.25">
      <c r="A343" s="28" t="s">
        <v>480</v>
      </c>
      <c r="B343" s="23">
        <v>2000</v>
      </c>
      <c r="C343" s="23"/>
    </row>
    <row r="344" spans="1:3" x14ac:dyDescent="0.25">
      <c r="A344" s="28" t="s">
        <v>37</v>
      </c>
      <c r="B344" s="23">
        <v>100</v>
      </c>
      <c r="C344" s="23"/>
    </row>
    <row r="345" spans="1:3" x14ac:dyDescent="0.25">
      <c r="A345" s="28" t="s">
        <v>272</v>
      </c>
      <c r="B345" s="23">
        <v>504</v>
      </c>
      <c r="C345" s="23"/>
    </row>
    <row r="346" spans="1:3" x14ac:dyDescent="0.25">
      <c r="A346" s="28" t="s">
        <v>504</v>
      </c>
      <c r="B346" s="23">
        <v>6000</v>
      </c>
      <c r="C346" s="23"/>
    </row>
    <row r="347" spans="1:3" x14ac:dyDescent="0.25">
      <c r="A347" s="28" t="s">
        <v>6</v>
      </c>
      <c r="B347" s="23">
        <v>210</v>
      </c>
      <c r="C347" s="23"/>
    </row>
    <row r="348" spans="1:3" x14ac:dyDescent="0.25">
      <c r="A348" s="28" t="s">
        <v>63</v>
      </c>
      <c r="B348" s="23">
        <v>504</v>
      </c>
      <c r="C348" s="23"/>
    </row>
    <row r="349" spans="1:3" x14ac:dyDescent="0.25">
      <c r="A349" s="28" t="s">
        <v>505</v>
      </c>
      <c r="B349" s="23">
        <v>66835</v>
      </c>
      <c r="C349" s="23"/>
    </row>
    <row r="350" spans="1:3" x14ac:dyDescent="0.25">
      <c r="A350" s="28" t="s">
        <v>506</v>
      </c>
      <c r="B350" s="23">
        <v>500</v>
      </c>
      <c r="C350" s="23"/>
    </row>
    <row r="351" spans="1:3" x14ac:dyDescent="0.25">
      <c r="A351" s="28" t="s">
        <v>507</v>
      </c>
      <c r="B351" s="23">
        <v>11000</v>
      </c>
      <c r="C351" s="23"/>
    </row>
    <row r="352" spans="1:3" x14ac:dyDescent="0.25">
      <c r="A352" s="28" t="s">
        <v>508</v>
      </c>
      <c r="B352" s="23">
        <v>4347</v>
      </c>
      <c r="C352" s="23"/>
    </row>
    <row r="353" spans="1:4" x14ac:dyDescent="0.25">
      <c r="A353" s="28" t="s">
        <v>180</v>
      </c>
      <c r="B353" s="23"/>
      <c r="C353" s="23">
        <v>100000</v>
      </c>
    </row>
    <row r="354" spans="1:4" x14ac:dyDescent="0.25">
      <c r="A354" s="28"/>
      <c r="B354" s="29">
        <f>SUM(B342:B353)</f>
        <v>100000</v>
      </c>
      <c r="C354" s="29">
        <f>SUM(C342:C353)</f>
        <v>100000</v>
      </c>
    </row>
    <row r="355" spans="1:4" x14ac:dyDescent="0.25">
      <c r="A355" s="27"/>
      <c r="B355" s="60"/>
      <c r="C355" s="60"/>
    </row>
    <row r="359" spans="1:4" x14ac:dyDescent="0.25">
      <c r="A359" s="13"/>
      <c r="D359" s="19"/>
    </row>
    <row r="362" spans="1:4" x14ac:dyDescent="0.25">
      <c r="A362" s="370" t="s">
        <v>157</v>
      </c>
      <c r="B362" s="370"/>
      <c r="C362" s="370"/>
    </row>
    <row r="363" spans="1:4" x14ac:dyDescent="0.25">
      <c r="A363" s="370" t="s">
        <v>158</v>
      </c>
      <c r="B363" s="370"/>
      <c r="C363" s="370"/>
    </row>
    <row r="364" spans="1:4" x14ac:dyDescent="0.25">
      <c r="A364" s="370" t="s">
        <v>773</v>
      </c>
      <c r="B364" s="370"/>
      <c r="C364" s="370"/>
    </row>
    <row r="365" spans="1:4" x14ac:dyDescent="0.25">
      <c r="A365" s="109" t="s">
        <v>5</v>
      </c>
      <c r="B365" s="21" t="s">
        <v>56</v>
      </c>
      <c r="C365" s="21" t="s">
        <v>57</v>
      </c>
    </row>
    <row r="366" spans="1:4" x14ac:dyDescent="0.25">
      <c r="A366" s="28" t="s">
        <v>691</v>
      </c>
      <c r="B366" s="23">
        <v>5244</v>
      </c>
      <c r="C366" s="23"/>
    </row>
    <row r="367" spans="1:4" x14ac:dyDescent="0.25">
      <c r="A367" s="28" t="s">
        <v>272</v>
      </c>
      <c r="B367" s="23">
        <v>200</v>
      </c>
      <c r="C367" s="23"/>
    </row>
    <row r="368" spans="1:4" x14ac:dyDescent="0.25">
      <c r="A368" s="28" t="s">
        <v>508</v>
      </c>
      <c r="B368" s="23">
        <v>556</v>
      </c>
      <c r="C368" s="23"/>
    </row>
    <row r="369" spans="1:4" x14ac:dyDescent="0.25">
      <c r="A369" s="28" t="s">
        <v>180</v>
      </c>
      <c r="B369" s="23"/>
      <c r="C369" s="23">
        <v>6000</v>
      </c>
    </row>
    <row r="370" spans="1:4" x14ac:dyDescent="0.25">
      <c r="A370" s="28"/>
      <c r="B370" s="29">
        <f>SUM(B366:B369)</f>
        <v>6000</v>
      </c>
      <c r="C370" s="29">
        <f>SUM(C366:C369)</f>
        <v>6000</v>
      </c>
    </row>
    <row r="378" spans="1:4" x14ac:dyDescent="0.25">
      <c r="A378" s="13"/>
      <c r="D378" s="19"/>
    </row>
    <row r="381" spans="1:4" x14ac:dyDescent="0.25">
      <c r="A381" s="370" t="s">
        <v>157</v>
      </c>
      <c r="B381" s="370"/>
      <c r="C381" s="370"/>
    </row>
    <row r="382" spans="1:4" x14ac:dyDescent="0.25">
      <c r="A382" s="370" t="s">
        <v>158</v>
      </c>
      <c r="B382" s="370"/>
      <c r="C382" s="370"/>
    </row>
    <row r="383" spans="1:4" x14ac:dyDescent="0.25">
      <c r="A383" s="370" t="s">
        <v>793</v>
      </c>
      <c r="B383" s="370"/>
      <c r="C383" s="370"/>
    </row>
    <row r="384" spans="1:4" x14ac:dyDescent="0.25">
      <c r="A384" s="109" t="s">
        <v>5</v>
      </c>
      <c r="B384" s="21" t="s">
        <v>56</v>
      </c>
      <c r="C384" s="21" t="s">
        <v>57</v>
      </c>
    </row>
    <row r="385" spans="1:4" x14ac:dyDescent="0.25">
      <c r="A385" s="28" t="s">
        <v>508</v>
      </c>
      <c r="B385" s="23">
        <v>200000</v>
      </c>
      <c r="C385" s="23"/>
    </row>
    <row r="386" spans="1:4" x14ac:dyDescent="0.25">
      <c r="A386" s="28" t="s">
        <v>180</v>
      </c>
      <c r="B386" s="23"/>
      <c r="C386" s="23">
        <v>200000</v>
      </c>
    </row>
    <row r="387" spans="1:4" x14ac:dyDescent="0.25">
      <c r="A387" s="28"/>
      <c r="B387" s="29">
        <f>SUM(B385:B386)</f>
        <v>200000</v>
      </c>
      <c r="C387" s="29">
        <f>SUM(C385:C386)</f>
        <v>200000</v>
      </c>
    </row>
    <row r="388" spans="1:4" x14ac:dyDescent="0.25">
      <c r="A388" s="27"/>
      <c r="B388" s="60"/>
      <c r="C388" s="60"/>
    </row>
    <row r="389" spans="1:4" x14ac:dyDescent="0.25">
      <c r="A389" s="27"/>
      <c r="B389" s="60"/>
      <c r="C389" s="60"/>
    </row>
    <row r="390" spans="1:4" x14ac:dyDescent="0.25">
      <c r="A390" s="27"/>
      <c r="B390" s="60"/>
      <c r="C390" s="60"/>
    </row>
    <row r="392" spans="1:4" x14ac:dyDescent="0.25">
      <c r="A392" s="13"/>
      <c r="D392" s="19"/>
    </row>
    <row r="395" spans="1:4" x14ac:dyDescent="0.25">
      <c r="A395" s="370" t="s">
        <v>157</v>
      </c>
      <c r="B395" s="370"/>
      <c r="C395" s="370"/>
    </row>
    <row r="396" spans="1:4" x14ac:dyDescent="0.25">
      <c r="A396" s="370" t="s">
        <v>158</v>
      </c>
      <c r="B396" s="370"/>
      <c r="C396" s="370"/>
    </row>
    <row r="397" spans="1:4" x14ac:dyDescent="0.25">
      <c r="A397" s="370" t="s">
        <v>843</v>
      </c>
      <c r="B397" s="370"/>
      <c r="C397" s="370"/>
    </row>
    <row r="398" spans="1:4" x14ac:dyDescent="0.25">
      <c r="A398" s="117" t="s">
        <v>5</v>
      </c>
      <c r="B398" s="21" t="s">
        <v>56</v>
      </c>
      <c r="C398" s="21" t="s">
        <v>57</v>
      </c>
    </row>
    <row r="399" spans="1:4" x14ac:dyDescent="0.25">
      <c r="A399" s="28" t="s">
        <v>477</v>
      </c>
      <c r="B399" s="23">
        <v>12000</v>
      </c>
      <c r="C399" s="23"/>
    </row>
    <row r="400" spans="1:4" x14ac:dyDescent="0.25">
      <c r="A400" s="28" t="s">
        <v>845</v>
      </c>
      <c r="B400" s="23">
        <v>8000</v>
      </c>
      <c r="C400" s="23"/>
    </row>
    <row r="401" spans="1:4" x14ac:dyDescent="0.25">
      <c r="A401" s="28" t="s">
        <v>479</v>
      </c>
      <c r="B401" s="23">
        <v>12000</v>
      </c>
      <c r="C401" s="23"/>
    </row>
    <row r="402" spans="1:4" x14ac:dyDescent="0.25">
      <c r="A402" s="28" t="s">
        <v>844</v>
      </c>
      <c r="B402" s="23">
        <v>5000</v>
      </c>
      <c r="C402" s="23"/>
    </row>
    <row r="403" spans="1:4" x14ac:dyDescent="0.25">
      <c r="A403" s="28"/>
      <c r="B403" s="23"/>
      <c r="C403" s="23"/>
    </row>
    <row r="404" spans="1:4" x14ac:dyDescent="0.25">
      <c r="A404" s="28" t="s">
        <v>350</v>
      </c>
      <c r="B404" s="23"/>
      <c r="C404" s="23">
        <v>12000</v>
      </c>
    </row>
    <row r="405" spans="1:4" x14ac:dyDescent="0.25">
      <c r="A405" s="28" t="s">
        <v>846</v>
      </c>
      <c r="B405" s="23"/>
      <c r="C405" s="23">
        <v>8000</v>
      </c>
    </row>
    <row r="406" spans="1:4" x14ac:dyDescent="0.25">
      <c r="A406" s="28" t="s">
        <v>480</v>
      </c>
      <c r="B406" s="23"/>
      <c r="C406" s="23">
        <v>12000</v>
      </c>
    </row>
    <row r="407" spans="1:4" x14ac:dyDescent="0.25">
      <c r="A407" s="28" t="s">
        <v>283</v>
      </c>
      <c r="B407" s="23"/>
      <c r="C407" s="23">
        <v>5000</v>
      </c>
    </row>
    <row r="408" spans="1:4" x14ac:dyDescent="0.25">
      <c r="A408" s="28"/>
      <c r="B408" s="29">
        <f>SUM(B399:B407)</f>
        <v>37000</v>
      </c>
      <c r="C408" s="29">
        <f>SUM(C399:C407)</f>
        <v>37000</v>
      </c>
    </row>
    <row r="409" spans="1:4" x14ac:dyDescent="0.25">
      <c r="A409" s="27"/>
      <c r="B409" s="60"/>
      <c r="C409" s="60"/>
    </row>
    <row r="410" spans="1:4" x14ac:dyDescent="0.25">
      <c r="A410" s="27"/>
      <c r="B410" s="60"/>
      <c r="C410" s="60"/>
    </row>
    <row r="411" spans="1:4" x14ac:dyDescent="0.25">
      <c r="A411" s="27"/>
      <c r="B411" s="60"/>
      <c r="C411" s="60"/>
    </row>
    <row r="412" spans="1:4" x14ac:dyDescent="0.25">
      <c r="A412" s="27"/>
      <c r="B412" s="60"/>
      <c r="C412" s="60"/>
    </row>
    <row r="415" spans="1:4" x14ac:dyDescent="0.25">
      <c r="A415" s="13"/>
      <c r="D415" s="19"/>
    </row>
    <row r="416" spans="1:4" x14ac:dyDescent="0.25">
      <c r="A416" s="13"/>
      <c r="D416" s="19"/>
    </row>
    <row r="417" spans="1:4" x14ac:dyDescent="0.25">
      <c r="A417" s="13"/>
      <c r="D417" s="19"/>
    </row>
    <row r="418" spans="1:4" x14ac:dyDescent="0.25">
      <c r="A418" s="370" t="s">
        <v>157</v>
      </c>
      <c r="B418" s="370"/>
      <c r="C418" s="370"/>
      <c r="D418" s="19"/>
    </row>
    <row r="419" spans="1:4" x14ac:dyDescent="0.25">
      <c r="A419" s="370" t="s">
        <v>158</v>
      </c>
      <c r="B419" s="370"/>
      <c r="C419" s="370"/>
      <c r="D419" s="19"/>
    </row>
    <row r="420" spans="1:4" x14ac:dyDescent="0.25">
      <c r="A420" s="370" t="s">
        <v>875</v>
      </c>
      <c r="B420" s="370"/>
      <c r="C420" s="370"/>
      <c r="D420" s="19"/>
    </row>
    <row r="421" spans="1:4" x14ac:dyDescent="0.25">
      <c r="A421" s="118" t="s">
        <v>5</v>
      </c>
      <c r="B421" s="21" t="s">
        <v>56</v>
      </c>
      <c r="C421" s="21" t="s">
        <v>57</v>
      </c>
      <c r="D421" s="19"/>
    </row>
    <row r="422" spans="1:4" x14ac:dyDescent="0.25">
      <c r="A422" s="41" t="s">
        <v>878</v>
      </c>
      <c r="B422" s="7">
        <v>11000</v>
      </c>
      <c r="D422" s="19"/>
    </row>
    <row r="423" spans="1:4" x14ac:dyDescent="0.25">
      <c r="A423" s="41" t="s">
        <v>721</v>
      </c>
      <c r="B423" s="7">
        <v>1350</v>
      </c>
      <c r="D423" s="19"/>
    </row>
    <row r="424" spans="1:4" x14ac:dyDescent="0.25">
      <c r="A424" s="41" t="s">
        <v>873</v>
      </c>
      <c r="B424" s="7">
        <v>1500</v>
      </c>
      <c r="D424" s="19"/>
    </row>
    <row r="425" spans="1:4" x14ac:dyDescent="0.25">
      <c r="A425" s="41" t="s">
        <v>876</v>
      </c>
      <c r="B425" s="7">
        <v>2420</v>
      </c>
      <c r="D425" s="19"/>
    </row>
    <row r="426" spans="1:4" x14ac:dyDescent="0.25">
      <c r="A426" s="13"/>
      <c r="D426" s="19"/>
    </row>
    <row r="427" spans="1:4" x14ac:dyDescent="0.25">
      <c r="A427" s="41" t="s">
        <v>877</v>
      </c>
      <c r="C427" s="7">
        <v>15500</v>
      </c>
      <c r="D427" s="19"/>
    </row>
    <row r="428" spans="1:4" x14ac:dyDescent="0.25">
      <c r="A428" s="41" t="s">
        <v>46</v>
      </c>
      <c r="C428" s="7">
        <v>770</v>
      </c>
      <c r="D428" s="19"/>
    </row>
    <row r="429" spans="1:4" x14ac:dyDescent="0.25">
      <c r="A429" s="13"/>
      <c r="B429" s="16">
        <f>SUM(B422:B428)</f>
        <v>16270</v>
      </c>
      <c r="C429" s="16">
        <f>SUM(C422:C428)</f>
        <v>16270</v>
      </c>
      <c r="D429" s="19"/>
    </row>
    <row r="430" spans="1:4" x14ac:dyDescent="0.25">
      <c r="A430" s="13"/>
      <c r="D430" s="19"/>
    </row>
    <row r="431" spans="1:4" x14ac:dyDescent="0.25">
      <c r="A431" s="13"/>
      <c r="D431" s="19"/>
    </row>
    <row r="432" spans="1:4" x14ac:dyDescent="0.25">
      <c r="A432" s="13"/>
      <c r="D432" s="19"/>
    </row>
    <row r="433" spans="1:4" x14ac:dyDescent="0.25">
      <c r="A433" s="13"/>
      <c r="D433" s="19"/>
    </row>
    <row r="434" spans="1:4" x14ac:dyDescent="0.25">
      <c r="A434" s="13"/>
      <c r="D434" s="19"/>
    </row>
    <row r="435" spans="1:4" x14ac:dyDescent="0.25">
      <c r="A435" s="13"/>
      <c r="D435" s="19"/>
    </row>
    <row r="436" spans="1:4" x14ac:dyDescent="0.25">
      <c r="A436" s="13"/>
      <c r="D436" s="19"/>
    </row>
    <row r="437" spans="1:4" x14ac:dyDescent="0.25">
      <c r="A437" s="370" t="s">
        <v>157</v>
      </c>
      <c r="B437" s="370"/>
      <c r="C437" s="370"/>
      <c r="D437" s="19"/>
    </row>
    <row r="438" spans="1:4" x14ac:dyDescent="0.25">
      <c r="A438" s="370" t="s">
        <v>158</v>
      </c>
      <c r="B438" s="370"/>
      <c r="C438" s="370"/>
      <c r="D438" s="19"/>
    </row>
    <row r="439" spans="1:4" x14ac:dyDescent="0.25">
      <c r="A439" s="370" t="s">
        <v>974</v>
      </c>
      <c r="B439" s="370"/>
      <c r="C439" s="370"/>
      <c r="D439" s="19"/>
    </row>
    <row r="440" spans="1:4" x14ac:dyDescent="0.25">
      <c r="A440" s="130" t="s">
        <v>5</v>
      </c>
      <c r="B440" s="21" t="s">
        <v>56</v>
      </c>
      <c r="C440" s="21" t="s">
        <v>57</v>
      </c>
      <c r="D440" s="19"/>
    </row>
    <row r="441" spans="1:4" x14ac:dyDescent="0.25">
      <c r="A441" s="13" t="s">
        <v>604</v>
      </c>
      <c r="B441" s="7">
        <v>155100</v>
      </c>
      <c r="D441" s="19"/>
    </row>
    <row r="442" spans="1:4" x14ac:dyDescent="0.25">
      <c r="A442" s="13" t="s">
        <v>975</v>
      </c>
      <c r="C442" s="7">
        <v>155100</v>
      </c>
      <c r="D442" s="19"/>
    </row>
    <row r="443" spans="1:4" x14ac:dyDescent="0.25">
      <c r="A443" s="13"/>
      <c r="B443" s="16">
        <f>SUM(B441:B442)</f>
        <v>155100</v>
      </c>
      <c r="C443" s="16">
        <f>SUM(C441:C442)</f>
        <v>155100</v>
      </c>
      <c r="D443" s="19"/>
    </row>
    <row r="444" spans="1:4" x14ac:dyDescent="0.25">
      <c r="A444" s="13"/>
      <c r="B444" s="16"/>
      <c r="C444" s="16"/>
      <c r="D444" s="19"/>
    </row>
    <row r="445" spans="1:4" x14ac:dyDescent="0.25">
      <c r="A445" s="13"/>
      <c r="B445" s="16"/>
      <c r="C445" s="16"/>
      <c r="D445" s="19"/>
    </row>
    <row r="446" spans="1:4" x14ac:dyDescent="0.25">
      <c r="A446" s="13"/>
      <c r="D446" s="19"/>
    </row>
    <row r="447" spans="1:4" x14ac:dyDescent="0.25">
      <c r="A447" s="13"/>
      <c r="B447" s="16"/>
      <c r="C447" s="16"/>
      <c r="D447" s="19"/>
    </row>
    <row r="448" spans="1:4" x14ac:dyDescent="0.25">
      <c r="A448" s="13"/>
      <c r="B448" s="16"/>
      <c r="C448" s="16"/>
      <c r="D448" s="19"/>
    </row>
    <row r="449" spans="1:4" x14ac:dyDescent="0.25">
      <c r="A449" s="370" t="s">
        <v>157</v>
      </c>
      <c r="B449" s="370"/>
      <c r="C449" s="370"/>
      <c r="D449" s="19"/>
    </row>
    <row r="450" spans="1:4" x14ac:dyDescent="0.25">
      <c r="A450" s="370" t="s">
        <v>158</v>
      </c>
      <c r="B450" s="370"/>
      <c r="C450" s="370"/>
      <c r="D450" s="19"/>
    </row>
    <row r="451" spans="1:4" x14ac:dyDescent="0.25">
      <c r="A451" s="370" t="s">
        <v>988</v>
      </c>
      <c r="B451" s="370"/>
      <c r="C451" s="370"/>
      <c r="D451" s="19"/>
    </row>
    <row r="452" spans="1:4" x14ac:dyDescent="0.25">
      <c r="A452" s="130" t="s">
        <v>5</v>
      </c>
      <c r="B452" s="21" t="s">
        <v>56</v>
      </c>
      <c r="C452" s="21" t="s">
        <v>57</v>
      </c>
      <c r="D452" s="19"/>
    </row>
    <row r="453" spans="1:4" x14ac:dyDescent="0.25">
      <c r="A453" s="133" t="s">
        <v>953</v>
      </c>
      <c r="B453" s="132"/>
      <c r="C453" s="132"/>
      <c r="D453" s="19"/>
    </row>
    <row r="454" spans="1:4" x14ac:dyDescent="0.25">
      <c r="A454" s="41" t="s">
        <v>627</v>
      </c>
      <c r="B454" s="132">
        <f>30000+25000</f>
        <v>55000</v>
      </c>
      <c r="C454" s="132"/>
      <c r="D454" s="19"/>
    </row>
    <row r="455" spans="1:4" x14ac:dyDescent="0.25">
      <c r="A455" s="41" t="s">
        <v>954</v>
      </c>
      <c r="B455" s="132">
        <v>2300</v>
      </c>
      <c r="C455" s="132"/>
      <c r="D455" s="19"/>
    </row>
    <row r="456" spans="1:4" x14ac:dyDescent="0.25">
      <c r="A456" s="41" t="s">
        <v>977</v>
      </c>
      <c r="B456" s="132">
        <v>9800</v>
      </c>
      <c r="C456" s="132"/>
      <c r="D456" s="19"/>
    </row>
    <row r="457" spans="1:4" x14ac:dyDescent="0.25">
      <c r="A457" s="41" t="s">
        <v>37</v>
      </c>
      <c r="B457" s="132">
        <f>200+300</f>
        <v>500</v>
      </c>
      <c r="C457" s="132"/>
      <c r="D457" s="19"/>
    </row>
    <row r="458" spans="1:4" ht="30" x14ac:dyDescent="0.25">
      <c r="A458" s="111" t="s">
        <v>978</v>
      </c>
      <c r="B458" s="134">
        <v>252578</v>
      </c>
      <c r="C458" s="132"/>
      <c r="D458" s="19"/>
    </row>
    <row r="459" spans="1:4" x14ac:dyDescent="0.25">
      <c r="A459" s="41" t="s">
        <v>979</v>
      </c>
      <c r="B459" s="132">
        <v>2000</v>
      </c>
      <c r="C459" s="132"/>
      <c r="D459" s="19"/>
    </row>
    <row r="460" spans="1:4" x14ac:dyDescent="0.25">
      <c r="A460" s="41" t="s">
        <v>981</v>
      </c>
      <c r="B460" s="132">
        <v>13500</v>
      </c>
      <c r="C460" s="132"/>
      <c r="D460" s="19"/>
    </row>
    <row r="461" spans="1:4" x14ac:dyDescent="0.25">
      <c r="A461" s="41" t="s">
        <v>982</v>
      </c>
      <c r="B461" s="132">
        <v>202268</v>
      </c>
      <c r="C461" s="132"/>
      <c r="D461" s="19"/>
    </row>
    <row r="462" spans="1:4" ht="30" x14ac:dyDescent="0.25">
      <c r="A462" s="98" t="s">
        <v>958</v>
      </c>
      <c r="B462" s="134">
        <v>1185</v>
      </c>
      <c r="C462" s="132"/>
      <c r="D462" s="19"/>
    </row>
    <row r="463" spans="1:4" x14ac:dyDescent="0.25">
      <c r="A463" s="41" t="s">
        <v>983</v>
      </c>
      <c r="B463" s="132">
        <v>105</v>
      </c>
      <c r="C463" s="132"/>
      <c r="D463" s="19"/>
    </row>
    <row r="464" spans="1:4" x14ac:dyDescent="0.25">
      <c r="A464" s="41" t="s">
        <v>986</v>
      </c>
      <c r="B464" s="132">
        <v>600</v>
      </c>
      <c r="C464" s="132"/>
      <c r="D464" s="19"/>
    </row>
    <row r="465" spans="1:4" x14ac:dyDescent="0.25">
      <c r="A465" s="41" t="s">
        <v>960</v>
      </c>
      <c r="B465" s="132">
        <f>1825+10</f>
        <v>1835</v>
      </c>
      <c r="C465" s="132"/>
      <c r="D465" s="19"/>
    </row>
    <row r="466" spans="1:4" x14ac:dyDescent="0.25">
      <c r="A466" s="41" t="s">
        <v>984</v>
      </c>
      <c r="B466" s="132">
        <v>9950</v>
      </c>
      <c r="C466" s="132"/>
      <c r="D466" s="19"/>
    </row>
    <row r="467" spans="1:4" x14ac:dyDescent="0.25">
      <c r="A467" s="41" t="s">
        <v>985</v>
      </c>
      <c r="B467" s="132">
        <v>12000</v>
      </c>
      <c r="C467" s="132"/>
      <c r="D467" s="19"/>
    </row>
    <row r="468" spans="1:4" x14ac:dyDescent="0.25">
      <c r="A468" s="41" t="s">
        <v>19</v>
      </c>
      <c r="B468" s="132">
        <v>390</v>
      </c>
      <c r="C468" s="132"/>
      <c r="D468" s="19"/>
    </row>
    <row r="469" spans="1:4" x14ac:dyDescent="0.25">
      <c r="A469" s="41" t="s">
        <v>35</v>
      </c>
      <c r="B469" s="132">
        <v>1000</v>
      </c>
      <c r="C469" s="132"/>
      <c r="D469" s="19"/>
    </row>
    <row r="470" spans="1:4" x14ac:dyDescent="0.25">
      <c r="A470" s="41" t="s">
        <v>987</v>
      </c>
      <c r="B470" s="16"/>
      <c r="C470" s="14">
        <v>558000</v>
      </c>
      <c r="D470" s="19"/>
    </row>
    <row r="471" spans="1:4" x14ac:dyDescent="0.25">
      <c r="A471" s="41" t="s">
        <v>46</v>
      </c>
      <c r="B471" s="16"/>
      <c r="C471" s="14">
        <v>7011</v>
      </c>
      <c r="D471" s="19"/>
    </row>
    <row r="472" spans="1:4" x14ac:dyDescent="0.25">
      <c r="A472" s="13"/>
      <c r="B472" s="16">
        <f>SUM(B454:B471)</f>
        <v>565011</v>
      </c>
      <c r="C472" s="16">
        <f>SUM(C454:C471)</f>
        <v>565011</v>
      </c>
      <c r="D472" s="19"/>
    </row>
    <row r="473" spans="1:4" x14ac:dyDescent="0.25">
      <c r="A473" s="13"/>
      <c r="B473" s="16"/>
      <c r="C473" s="16"/>
      <c r="D473" s="19"/>
    </row>
    <row r="474" spans="1:4" x14ac:dyDescent="0.25">
      <c r="A474" s="13"/>
      <c r="B474" s="16"/>
      <c r="C474" s="16"/>
      <c r="D474" s="19"/>
    </row>
    <row r="475" spans="1:4" x14ac:dyDescent="0.25">
      <c r="A475" s="13"/>
      <c r="D475" s="19"/>
    </row>
    <row r="476" spans="1:4" x14ac:dyDescent="0.25">
      <c r="A476" s="13"/>
      <c r="B476" s="16"/>
      <c r="C476" s="16"/>
      <c r="D476" s="19"/>
    </row>
    <row r="477" spans="1:4" x14ac:dyDescent="0.25">
      <c r="A477" s="13"/>
      <c r="B477" s="16"/>
      <c r="C477" s="16"/>
      <c r="D477" s="19"/>
    </row>
    <row r="478" spans="1:4" x14ac:dyDescent="0.25">
      <c r="A478" s="370" t="s">
        <v>157</v>
      </c>
      <c r="B478" s="370"/>
      <c r="C478" s="370"/>
      <c r="D478" s="19"/>
    </row>
    <row r="479" spans="1:4" x14ac:dyDescent="0.25">
      <c r="A479" s="370" t="s">
        <v>158</v>
      </c>
      <c r="B479" s="370"/>
      <c r="C479" s="370"/>
      <c r="D479" s="19"/>
    </row>
    <row r="480" spans="1:4" x14ac:dyDescent="0.25">
      <c r="A480" s="370" t="s">
        <v>992</v>
      </c>
      <c r="B480" s="370"/>
      <c r="C480" s="370"/>
      <c r="D480" s="19"/>
    </row>
    <row r="481" spans="1:4" x14ac:dyDescent="0.25">
      <c r="A481" s="130" t="s">
        <v>5</v>
      </c>
      <c r="B481" s="21" t="s">
        <v>56</v>
      </c>
      <c r="C481" s="21" t="s">
        <v>57</v>
      </c>
      <c r="D481" s="19"/>
    </row>
    <row r="482" spans="1:4" x14ac:dyDescent="0.25">
      <c r="A482" s="13" t="s">
        <v>990</v>
      </c>
      <c r="B482" s="14">
        <v>65000</v>
      </c>
      <c r="C482" s="14"/>
      <c r="D482" s="19"/>
    </row>
    <row r="483" spans="1:4" x14ac:dyDescent="0.25">
      <c r="A483" s="13" t="s">
        <v>494</v>
      </c>
      <c r="B483" s="14"/>
      <c r="C483" s="14">
        <v>65000</v>
      </c>
      <c r="D483" s="19"/>
    </row>
    <row r="484" spans="1:4" x14ac:dyDescent="0.25">
      <c r="A484" s="13"/>
      <c r="B484" s="16">
        <f>SUM(B482:B483)</f>
        <v>65000</v>
      </c>
      <c r="C484" s="16">
        <f>SUM(C482:C483)</f>
        <v>65000</v>
      </c>
      <c r="D484" s="19"/>
    </row>
    <row r="485" spans="1:4" x14ac:dyDescent="0.25">
      <c r="A485" s="13"/>
      <c r="B485" s="16"/>
      <c r="C485" s="16"/>
      <c r="D485" s="19"/>
    </row>
    <row r="486" spans="1:4" x14ac:dyDescent="0.25">
      <c r="A486" s="13"/>
      <c r="B486" s="16"/>
      <c r="C486" s="16"/>
      <c r="D486" s="19"/>
    </row>
    <row r="487" spans="1:4" x14ac:dyDescent="0.25">
      <c r="A487" s="13"/>
      <c r="D487" s="19"/>
    </row>
    <row r="488" spans="1:4" x14ac:dyDescent="0.25">
      <c r="A488" s="13"/>
      <c r="D488" s="19"/>
    </row>
    <row r="489" spans="1:4" x14ac:dyDescent="0.25">
      <c r="A489" s="13"/>
      <c r="D489" s="19"/>
    </row>
    <row r="490" spans="1:4" x14ac:dyDescent="0.25">
      <c r="A490" s="370" t="s">
        <v>157</v>
      </c>
      <c r="B490" s="370"/>
      <c r="C490" s="370"/>
      <c r="D490" s="19"/>
    </row>
    <row r="491" spans="1:4" x14ac:dyDescent="0.25">
      <c r="A491" s="370" t="s">
        <v>158</v>
      </c>
      <c r="B491" s="370"/>
      <c r="C491" s="370"/>
      <c r="D491" s="19"/>
    </row>
    <row r="492" spans="1:4" x14ac:dyDescent="0.25">
      <c r="A492" s="370" t="s">
        <v>1017</v>
      </c>
      <c r="B492" s="370"/>
      <c r="C492" s="370"/>
      <c r="D492" s="19"/>
    </row>
    <row r="493" spans="1:4" x14ac:dyDescent="0.25">
      <c r="A493" s="130" t="s">
        <v>5</v>
      </c>
      <c r="B493" s="21" t="s">
        <v>56</v>
      </c>
      <c r="C493" s="21" t="s">
        <v>57</v>
      </c>
      <c r="D493" s="19"/>
    </row>
    <row r="494" spans="1:4" x14ac:dyDescent="0.25">
      <c r="A494" s="13" t="s">
        <v>953</v>
      </c>
      <c r="D494" s="19"/>
    </row>
    <row r="495" spans="1:4" x14ac:dyDescent="0.25">
      <c r="A495" s="13" t="s">
        <v>606</v>
      </c>
      <c r="B495" s="7">
        <v>45000</v>
      </c>
      <c r="D495" s="19"/>
    </row>
    <row r="496" spans="1:4" x14ac:dyDescent="0.25">
      <c r="A496" s="13" t="s">
        <v>1015</v>
      </c>
      <c r="B496" s="7">
        <v>5000</v>
      </c>
      <c r="D496" s="19"/>
    </row>
    <row r="497" spans="1:4" x14ac:dyDescent="0.25">
      <c r="A497" s="13" t="s">
        <v>494</v>
      </c>
      <c r="C497" s="7">
        <v>50000</v>
      </c>
      <c r="D497" s="19"/>
    </row>
    <row r="498" spans="1:4" x14ac:dyDescent="0.25">
      <c r="A498" s="13"/>
      <c r="B498" s="16">
        <f>SUM(B495:B497)</f>
        <v>50000</v>
      </c>
      <c r="C498" s="16">
        <f>SUM(C495:C497)</f>
        <v>50000</v>
      </c>
      <c r="D498" s="19"/>
    </row>
    <row r="499" spans="1:4" x14ac:dyDescent="0.25">
      <c r="A499" s="13"/>
      <c r="B499" s="16"/>
      <c r="C499" s="16"/>
      <c r="D499" s="19"/>
    </row>
    <row r="500" spans="1:4" x14ac:dyDescent="0.25">
      <c r="A500" s="13"/>
      <c r="B500" s="16"/>
      <c r="C500" s="16"/>
      <c r="D500" s="19"/>
    </row>
    <row r="501" spans="1:4" x14ac:dyDescent="0.25">
      <c r="A501" s="13"/>
      <c r="D501" s="19"/>
    </row>
    <row r="502" spans="1:4" x14ac:dyDescent="0.25">
      <c r="A502" s="13"/>
      <c r="D502" s="19"/>
    </row>
    <row r="503" spans="1:4" x14ac:dyDescent="0.25">
      <c r="A503" s="13"/>
      <c r="D503" s="19"/>
    </row>
    <row r="504" spans="1:4" x14ac:dyDescent="0.25">
      <c r="A504" s="13"/>
      <c r="D504" s="19"/>
    </row>
    <row r="505" spans="1:4" x14ac:dyDescent="0.25">
      <c r="A505" s="13"/>
      <c r="D505" s="19"/>
    </row>
    <row r="506" spans="1:4" x14ac:dyDescent="0.25">
      <c r="A506" s="13"/>
      <c r="D506" s="19"/>
    </row>
    <row r="508" spans="1:4" x14ac:dyDescent="0.25">
      <c r="A508" s="371" t="s">
        <v>157</v>
      </c>
      <c r="B508" s="371"/>
      <c r="C508" s="371"/>
    </row>
    <row r="509" spans="1:4" x14ac:dyDescent="0.25">
      <c r="A509" s="371" t="s">
        <v>158</v>
      </c>
      <c r="B509" s="371"/>
      <c r="C509" s="371"/>
    </row>
    <row r="510" spans="1:4" x14ac:dyDescent="0.25">
      <c r="A510" s="371" t="s">
        <v>1062</v>
      </c>
      <c r="B510" s="371"/>
      <c r="C510" s="371"/>
    </row>
    <row r="511" spans="1:4" x14ac:dyDescent="0.25">
      <c r="A511" s="72" t="s">
        <v>5</v>
      </c>
      <c r="B511" s="104" t="s">
        <v>56</v>
      </c>
      <c r="C511" s="104" t="s">
        <v>57</v>
      </c>
    </row>
    <row r="512" spans="1:4" x14ac:dyDescent="0.25">
      <c r="A512" s="28" t="s">
        <v>272</v>
      </c>
      <c r="B512" s="23">
        <v>8111</v>
      </c>
      <c r="C512" s="23"/>
    </row>
    <row r="513" spans="1:3" x14ac:dyDescent="0.25">
      <c r="A513" s="28" t="s">
        <v>689</v>
      </c>
      <c r="B513" s="23">
        <v>81962</v>
      </c>
      <c r="C513" s="23"/>
    </row>
    <row r="514" spans="1:3" x14ac:dyDescent="0.25">
      <c r="A514" s="28" t="s">
        <v>690</v>
      </c>
      <c r="B514" s="23">
        <v>7738</v>
      </c>
      <c r="C514" s="23"/>
    </row>
    <row r="515" spans="1:3" x14ac:dyDescent="0.25">
      <c r="A515" s="28" t="s">
        <v>691</v>
      </c>
      <c r="B515" s="23">
        <v>3520</v>
      </c>
      <c r="C515" s="23"/>
    </row>
    <row r="516" spans="1:3" x14ac:dyDescent="0.25">
      <c r="A516" s="28" t="s">
        <v>693</v>
      </c>
      <c r="B516" s="23">
        <v>2500</v>
      </c>
      <c r="C516" s="23"/>
    </row>
    <row r="517" spans="1:3" x14ac:dyDescent="0.25">
      <c r="A517" s="28" t="s">
        <v>692</v>
      </c>
      <c r="B517" s="23">
        <v>1300</v>
      </c>
      <c r="C517" s="23"/>
    </row>
    <row r="518" spans="1:3" x14ac:dyDescent="0.25">
      <c r="A518" s="28" t="s">
        <v>694</v>
      </c>
      <c r="B518" s="23">
        <v>22000</v>
      </c>
      <c r="C518" s="23"/>
    </row>
    <row r="519" spans="1:3" x14ac:dyDescent="0.25">
      <c r="A519" s="28" t="s">
        <v>695</v>
      </c>
      <c r="B519" s="23">
        <v>60380</v>
      </c>
      <c r="C519" s="23"/>
    </row>
    <row r="520" spans="1:3" x14ac:dyDescent="0.25">
      <c r="A520" s="28" t="s">
        <v>34</v>
      </c>
      <c r="B520" s="23">
        <v>33900</v>
      </c>
      <c r="C520" s="23"/>
    </row>
    <row r="521" spans="1:3" x14ac:dyDescent="0.25">
      <c r="A521" s="28" t="s">
        <v>696</v>
      </c>
      <c r="B521" s="23">
        <v>15850</v>
      </c>
      <c r="C521" s="23"/>
    </row>
    <row r="522" spans="1:3" x14ac:dyDescent="0.25">
      <c r="A522" s="28" t="s">
        <v>697</v>
      </c>
      <c r="B522" s="23">
        <v>10189</v>
      </c>
      <c r="C522" s="23"/>
    </row>
    <row r="523" spans="1:3" x14ac:dyDescent="0.25">
      <c r="A523" s="28" t="s">
        <v>698</v>
      </c>
      <c r="B523" s="23">
        <v>13500</v>
      </c>
      <c r="C523" s="23"/>
    </row>
    <row r="524" spans="1:3" x14ac:dyDescent="0.25">
      <c r="A524" s="28" t="s">
        <v>699</v>
      </c>
      <c r="B524" s="23">
        <v>1155</v>
      </c>
      <c r="C524" s="23"/>
    </row>
    <row r="525" spans="1:3" x14ac:dyDescent="0.25">
      <c r="A525" s="28" t="s">
        <v>700</v>
      </c>
      <c r="B525" s="23">
        <v>10000</v>
      </c>
      <c r="C525" s="23"/>
    </row>
    <row r="526" spans="1:3" x14ac:dyDescent="0.25">
      <c r="A526" s="28" t="s">
        <v>701</v>
      </c>
      <c r="B526" s="23">
        <v>2000</v>
      </c>
      <c r="C526" s="23"/>
    </row>
    <row r="527" spans="1:3" x14ac:dyDescent="0.25">
      <c r="A527" s="28" t="s">
        <v>702</v>
      </c>
      <c r="B527" s="23">
        <v>200</v>
      </c>
      <c r="C527" s="23"/>
    </row>
    <row r="528" spans="1:3" x14ac:dyDescent="0.25">
      <c r="A528" s="103" t="s">
        <v>703</v>
      </c>
      <c r="B528" s="23"/>
      <c r="C528" s="23"/>
    </row>
    <row r="529" spans="1:4" x14ac:dyDescent="0.25">
      <c r="A529" s="28" t="s">
        <v>704</v>
      </c>
      <c r="B529" s="23">
        <v>17000</v>
      </c>
      <c r="C529" s="23"/>
    </row>
    <row r="530" spans="1:4" x14ac:dyDescent="0.25">
      <c r="A530" s="28" t="s">
        <v>705</v>
      </c>
      <c r="B530" s="23">
        <v>500</v>
      </c>
      <c r="C530" s="23"/>
    </row>
    <row r="531" spans="1:4" x14ac:dyDescent="0.25">
      <c r="A531" s="28" t="s">
        <v>706</v>
      </c>
      <c r="B531" s="23"/>
      <c r="C531" s="23">
        <v>280000</v>
      </c>
    </row>
    <row r="532" spans="1:4" x14ac:dyDescent="0.25">
      <c r="A532" s="28" t="s">
        <v>46</v>
      </c>
      <c r="B532" s="23"/>
      <c r="C532" s="23">
        <v>11805</v>
      </c>
    </row>
    <row r="533" spans="1:4" x14ac:dyDescent="0.25">
      <c r="A533" s="28"/>
      <c r="B533" s="29">
        <f>SUM(B512:B532)</f>
        <v>291805</v>
      </c>
      <c r="C533" s="29">
        <f>SUM(C512:C532)</f>
        <v>291805</v>
      </c>
    </row>
    <row r="542" spans="1:4" x14ac:dyDescent="0.25">
      <c r="A542" s="13"/>
      <c r="D542" s="19"/>
    </row>
    <row r="545" spans="1:3" x14ac:dyDescent="0.25">
      <c r="A545" s="371" t="s">
        <v>157</v>
      </c>
      <c r="B545" s="371"/>
      <c r="C545" s="371"/>
    </row>
    <row r="546" spans="1:3" x14ac:dyDescent="0.25">
      <c r="A546" s="371" t="s">
        <v>158</v>
      </c>
      <c r="B546" s="371"/>
      <c r="C546" s="371"/>
    </row>
    <row r="547" spans="1:3" x14ac:dyDescent="0.25">
      <c r="A547" s="371" t="s">
        <v>1076</v>
      </c>
      <c r="B547" s="371"/>
      <c r="C547" s="371"/>
    </row>
    <row r="548" spans="1:3" x14ac:dyDescent="0.25">
      <c r="A548" s="108" t="s">
        <v>5</v>
      </c>
      <c r="B548" s="104" t="s">
        <v>56</v>
      </c>
      <c r="C548" s="104" t="s">
        <v>57</v>
      </c>
    </row>
    <row r="549" spans="1:3" x14ac:dyDescent="0.25">
      <c r="A549" s="137" t="s">
        <v>1077</v>
      </c>
    </row>
    <row r="550" spans="1:3" x14ac:dyDescent="0.25">
      <c r="A550" s="7" t="s">
        <v>1078</v>
      </c>
      <c r="B550" s="7">
        <v>15000</v>
      </c>
    </row>
    <row r="551" spans="1:3" x14ac:dyDescent="0.25">
      <c r="A551" s="7" t="s">
        <v>1079</v>
      </c>
      <c r="B551" s="7">
        <v>5000</v>
      </c>
    </row>
    <row r="552" spans="1:3" x14ac:dyDescent="0.25">
      <c r="A552" s="7" t="s">
        <v>1080</v>
      </c>
      <c r="B552" s="7">
        <v>4000</v>
      </c>
    </row>
    <row r="553" spans="1:3" x14ac:dyDescent="0.25">
      <c r="A553" s="7" t="s">
        <v>1081</v>
      </c>
      <c r="B553" s="7">
        <v>500</v>
      </c>
    </row>
    <row r="554" spans="1:3" x14ac:dyDescent="0.25">
      <c r="A554" s="16" t="s">
        <v>703</v>
      </c>
    </row>
    <row r="555" spans="1:3" x14ac:dyDescent="0.25">
      <c r="A555" s="7" t="s">
        <v>1078</v>
      </c>
      <c r="C555" s="7">
        <v>15000</v>
      </c>
    </row>
    <row r="556" spans="1:3" x14ac:dyDescent="0.25">
      <c r="A556" s="7" t="s">
        <v>1079</v>
      </c>
      <c r="C556" s="7">
        <v>5000</v>
      </c>
    </row>
    <row r="557" spans="1:3" x14ac:dyDescent="0.25">
      <c r="A557" s="7" t="s">
        <v>1080</v>
      </c>
      <c r="C557" s="7">
        <v>4000</v>
      </c>
    </row>
    <row r="558" spans="1:3" x14ac:dyDescent="0.25">
      <c r="A558" s="7" t="s">
        <v>1081</v>
      </c>
      <c r="C558" s="7">
        <v>500</v>
      </c>
    </row>
    <row r="559" spans="1:3" x14ac:dyDescent="0.25">
      <c r="B559" s="7">
        <f>SUM(B550:B558)</f>
        <v>24500</v>
      </c>
      <c r="C559" s="7">
        <f>SUM(C550:C558)</f>
        <v>24500</v>
      </c>
    </row>
    <row r="564" spans="1:4" x14ac:dyDescent="0.25">
      <c r="A564" s="13"/>
      <c r="D564" s="19"/>
    </row>
    <row r="568" spans="1:4" x14ac:dyDescent="0.25">
      <c r="A568" s="371" t="s">
        <v>157</v>
      </c>
      <c r="B568" s="371"/>
      <c r="C568" s="371"/>
    </row>
    <row r="569" spans="1:4" x14ac:dyDescent="0.25">
      <c r="A569" s="371" t="s">
        <v>158</v>
      </c>
      <c r="B569" s="371"/>
      <c r="C569" s="371"/>
    </row>
    <row r="570" spans="1:4" x14ac:dyDescent="0.25">
      <c r="A570" s="371" t="s">
        <v>1273</v>
      </c>
      <c r="B570" s="371"/>
      <c r="C570" s="371"/>
    </row>
    <row r="571" spans="1:4" x14ac:dyDescent="0.25">
      <c r="A571" s="148" t="s">
        <v>5</v>
      </c>
      <c r="B571" s="104" t="s">
        <v>56</v>
      </c>
      <c r="C571" s="104" t="s">
        <v>57</v>
      </c>
    </row>
    <row r="572" spans="1:4" x14ac:dyDescent="0.25">
      <c r="A572" s="28" t="s">
        <v>37</v>
      </c>
      <c r="B572" s="23">
        <v>100</v>
      </c>
      <c r="C572" s="23"/>
    </row>
    <row r="573" spans="1:4" x14ac:dyDescent="0.25">
      <c r="A573" s="28" t="s">
        <v>691</v>
      </c>
      <c r="B573" s="23">
        <v>280</v>
      </c>
      <c r="C573" s="23"/>
    </row>
    <row r="574" spans="1:4" x14ac:dyDescent="0.25">
      <c r="A574" s="28" t="s">
        <v>272</v>
      </c>
      <c r="B574" s="23">
        <v>1216</v>
      </c>
      <c r="C574" s="23"/>
    </row>
    <row r="575" spans="1:4" x14ac:dyDescent="0.25">
      <c r="A575" s="28" t="s">
        <v>690</v>
      </c>
      <c r="B575" s="23">
        <v>1000</v>
      </c>
      <c r="C575" s="23"/>
    </row>
    <row r="576" spans="1:4" x14ac:dyDescent="0.25">
      <c r="A576" s="28" t="s">
        <v>1274</v>
      </c>
      <c r="B576" s="23">
        <v>404</v>
      </c>
      <c r="C576" s="23"/>
    </row>
    <row r="577" spans="1:4" x14ac:dyDescent="0.25">
      <c r="A577" s="28" t="s">
        <v>1275</v>
      </c>
      <c r="B577" s="23"/>
      <c r="C577" s="23">
        <v>3000</v>
      </c>
    </row>
    <row r="578" spans="1:4" x14ac:dyDescent="0.25">
      <c r="A578" s="28"/>
      <c r="B578" s="29">
        <f>SUM(B572:B577)</f>
        <v>3000</v>
      </c>
      <c r="C578" s="29">
        <f>SUM(C572:C577)</f>
        <v>3000</v>
      </c>
    </row>
    <row r="583" spans="1:4" x14ac:dyDescent="0.25">
      <c r="A583" s="13"/>
      <c r="D583" s="19"/>
    </row>
  </sheetData>
  <mergeCells count="102">
    <mergeCell ref="A568:C568"/>
    <mergeCell ref="A569:C569"/>
    <mergeCell ref="A570:C570"/>
    <mergeCell ref="A396:C396"/>
    <mergeCell ref="A397:C397"/>
    <mergeCell ref="A418:C418"/>
    <mergeCell ref="A419:C419"/>
    <mergeCell ref="A420:C420"/>
    <mergeCell ref="A364:C364"/>
    <mergeCell ref="A381:C381"/>
    <mergeCell ref="A382:C382"/>
    <mergeCell ref="A383:C383"/>
    <mergeCell ref="A395:C395"/>
    <mergeCell ref="A546:C546"/>
    <mergeCell ref="A509:C509"/>
    <mergeCell ref="A510:C510"/>
    <mergeCell ref="A437:C437"/>
    <mergeCell ref="A438:C438"/>
    <mergeCell ref="A439:C439"/>
    <mergeCell ref="A449:C449"/>
    <mergeCell ref="A450:C450"/>
    <mergeCell ref="A451:C451"/>
    <mergeCell ref="A478:C478"/>
    <mergeCell ref="A479:C479"/>
    <mergeCell ref="A1:D1"/>
    <mergeCell ref="A2:D2"/>
    <mergeCell ref="A3:D3"/>
    <mergeCell ref="A181:C181"/>
    <mergeCell ref="A103:C103"/>
    <mergeCell ref="A104:C104"/>
    <mergeCell ref="A105:C105"/>
    <mergeCell ref="A130:C130"/>
    <mergeCell ref="A156:C156"/>
    <mergeCell ref="A166:C166"/>
    <mergeCell ref="A167:C167"/>
    <mergeCell ref="A116:C116"/>
    <mergeCell ref="A129:C129"/>
    <mergeCell ref="A39:C39"/>
    <mergeCell ref="A40:C40"/>
    <mergeCell ref="A41:C41"/>
    <mergeCell ref="A77:C77"/>
    <mergeCell ref="A29:C29"/>
    <mergeCell ref="A16:C16"/>
    <mergeCell ref="A17:C17"/>
    <mergeCell ref="A18:C18"/>
    <mergeCell ref="A27:C27"/>
    <mergeCell ref="A28:C28"/>
    <mergeCell ref="A52:C52"/>
    <mergeCell ref="A53:C53"/>
    <mergeCell ref="A63:C63"/>
    <mergeCell ref="A64:C64"/>
    <mergeCell ref="A65:C65"/>
    <mergeCell ref="A54:C54"/>
    <mergeCell ref="A193:C193"/>
    <mergeCell ref="A194:C194"/>
    <mergeCell ref="A195:C195"/>
    <mergeCell ref="A182:C182"/>
    <mergeCell ref="A75:C75"/>
    <mergeCell ref="A76:C76"/>
    <mergeCell ref="A145:C145"/>
    <mergeCell ref="A157:C157"/>
    <mergeCell ref="A168:C168"/>
    <mergeCell ref="A117:C117"/>
    <mergeCell ref="A155:C155"/>
    <mergeCell ref="A144:C144"/>
    <mergeCell ref="A143:C143"/>
    <mergeCell ref="A115:C115"/>
    <mergeCell ref="A180:C180"/>
    <mergeCell ref="A131:C131"/>
    <mergeCell ref="A547:C547"/>
    <mergeCell ref="A235:C235"/>
    <mergeCell ref="A236:C236"/>
    <mergeCell ref="A315:C315"/>
    <mergeCell ref="A316:C316"/>
    <mergeCell ref="A262:C262"/>
    <mergeCell ref="A263:C263"/>
    <mergeCell ref="A264:C264"/>
    <mergeCell ref="A286:C286"/>
    <mergeCell ref="A287:C287"/>
    <mergeCell ref="A247:C247"/>
    <mergeCell ref="A248:C248"/>
    <mergeCell ref="A249:C249"/>
    <mergeCell ref="A288:C288"/>
    <mergeCell ref="A314:C314"/>
    <mergeCell ref="A508:C508"/>
    <mergeCell ref="A545:C545"/>
    <mergeCell ref="A338:C338"/>
    <mergeCell ref="A339:C339"/>
    <mergeCell ref="A340:C340"/>
    <mergeCell ref="A362:C362"/>
    <mergeCell ref="A363:C363"/>
    <mergeCell ref="A480:C480"/>
    <mergeCell ref="A490:C490"/>
    <mergeCell ref="A491:C491"/>
    <mergeCell ref="A492:C492"/>
    <mergeCell ref="A223:C223"/>
    <mergeCell ref="A224:C224"/>
    <mergeCell ref="A225:C225"/>
    <mergeCell ref="A234:C234"/>
    <mergeCell ref="A211:C211"/>
    <mergeCell ref="A212:C212"/>
    <mergeCell ref="A213:C213"/>
  </mergeCells>
  <conditionalFormatting sqref="A266:A271">
    <cfRule type="duplicateValues" dxfId="0" priority="1"/>
  </conditionalFormatting>
  <pageMargins left="0.5" right="0.25" top="0.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IE1496"/>
  <sheetViews>
    <sheetView tabSelected="1" zoomScaleNormal="100" zoomScaleSheetLayoutView="100" workbookViewId="0">
      <pane xSplit="3" ySplit="2" topLeftCell="D1475" activePane="bottomRight" state="frozen"/>
      <selection pane="topRight" activeCell="D1" sqref="D1"/>
      <selection pane="bottomLeft" activeCell="A3" sqref="A3"/>
      <selection pane="bottomRight" activeCell="C1485" sqref="C1485"/>
    </sheetView>
  </sheetViews>
  <sheetFormatPr defaultRowHeight="15" x14ac:dyDescent="0.25"/>
  <cols>
    <col min="1" max="1" width="12.42578125" style="195" customWidth="1"/>
    <col min="2" max="2" width="133.85546875" style="18" bestFit="1" customWidth="1"/>
    <col min="3" max="3" width="11.28515625" style="1" bestFit="1" customWidth="1"/>
    <col min="4" max="4" width="17.85546875" style="220" bestFit="1" customWidth="1"/>
    <col min="5" max="5" width="17.85546875" style="247" customWidth="1"/>
    <col min="6" max="7" width="17.85546875" style="260" customWidth="1"/>
    <col min="8" max="8" width="18.140625" style="1" customWidth="1"/>
    <col min="9" max="9" width="8.7109375" style="1" bestFit="1" customWidth="1"/>
    <col min="10" max="10" width="7.85546875" style="1" customWidth="1"/>
    <col min="11" max="11" width="11" style="1" bestFit="1" customWidth="1"/>
    <col min="12" max="12" width="11" style="1" customWidth="1"/>
    <col min="13" max="13" width="11.140625" style="1" bestFit="1" customWidth="1"/>
    <col min="14" max="16" width="11.140625" style="1" customWidth="1"/>
    <col min="17" max="17" width="11.5703125" style="1" bestFit="1" customWidth="1"/>
    <col min="18" max="18" width="11.5703125" style="1" customWidth="1"/>
    <col min="19" max="23" width="18.140625" style="1" customWidth="1"/>
    <col min="24" max="24" width="9" style="1" bestFit="1" customWidth="1"/>
    <col min="25" max="27" width="18.140625" style="1" customWidth="1"/>
    <col min="28" max="28" width="9.7109375" style="1" bestFit="1" customWidth="1"/>
    <col min="29" max="29" width="11.28515625" style="1" bestFit="1" customWidth="1"/>
    <col min="30" max="30" width="9" style="1" customWidth="1"/>
    <col min="31" max="31" width="11.28515625" style="1" bestFit="1" customWidth="1"/>
    <col min="32" max="32" width="13.28515625" style="1" bestFit="1" customWidth="1"/>
    <col min="33" max="33" width="25" style="1" bestFit="1" customWidth="1"/>
    <col min="34" max="34" width="21" style="1" bestFit="1" customWidth="1"/>
    <col min="35" max="38" width="18.140625" style="1" customWidth="1"/>
    <col min="39" max="39" width="30.7109375" style="1" bestFit="1" customWidth="1"/>
    <col min="40" max="40" width="12.7109375" style="1" bestFit="1" customWidth="1"/>
    <col min="41" max="41" width="20.7109375" style="1" customWidth="1"/>
    <col min="42" max="42" width="18.85546875" style="1" bestFit="1" customWidth="1"/>
    <col min="43" max="43" width="29.140625" style="1" bestFit="1" customWidth="1"/>
    <col min="44" max="44" width="26.5703125" style="1" bestFit="1" customWidth="1"/>
    <col min="45" max="45" width="23.42578125" style="1" bestFit="1" customWidth="1"/>
    <col min="46" max="46" width="18.140625" style="1" bestFit="1" customWidth="1"/>
    <col min="47" max="47" width="21.5703125" style="1" bestFit="1" customWidth="1"/>
    <col min="48" max="48" width="23.85546875" style="1" bestFit="1" customWidth="1"/>
    <col min="49" max="49" width="15.140625" style="1" bestFit="1" customWidth="1"/>
    <col min="50" max="50" width="24.7109375" style="1" bestFit="1" customWidth="1"/>
    <col min="51" max="51" width="26" style="1" bestFit="1" customWidth="1"/>
    <col min="52" max="52" width="23.5703125" style="1" bestFit="1" customWidth="1"/>
    <col min="53" max="53" width="29" style="1" bestFit="1" customWidth="1"/>
    <col min="54" max="54" width="21.140625" style="1" bestFit="1" customWidth="1"/>
    <col min="55" max="55" width="25.7109375" style="1" bestFit="1" customWidth="1"/>
    <col min="56" max="56" width="25.7109375" style="1" customWidth="1"/>
    <col min="57" max="57" width="18.140625" style="1" customWidth="1"/>
    <col min="58" max="58" width="48" style="1" bestFit="1" customWidth="1"/>
    <col min="59" max="59" width="26.7109375" style="1" bestFit="1" customWidth="1"/>
    <col min="60" max="60" width="14.7109375" style="1" bestFit="1" customWidth="1"/>
    <col min="61" max="64" width="10.5703125" style="1" customWidth="1"/>
    <col min="65" max="65" width="11.28515625" style="1" customWidth="1"/>
    <col min="66" max="67" width="11.7109375" style="1" customWidth="1"/>
    <col min="68" max="68" width="12.140625" style="1" customWidth="1"/>
    <col min="69" max="69" width="20.85546875" style="1" bestFit="1" customWidth="1"/>
    <col min="70" max="70" width="16.85546875" style="1" customWidth="1"/>
    <col min="71" max="71" width="16" style="1" customWidth="1"/>
    <col min="72" max="72" width="16.140625" style="1" customWidth="1"/>
    <col min="73" max="73" width="21.42578125" style="1" customWidth="1"/>
    <col min="74" max="74" width="11.42578125" style="1" customWidth="1"/>
    <col min="75" max="75" width="22" style="1" customWidth="1"/>
    <col min="76" max="76" width="14.28515625" style="1" bestFit="1" customWidth="1"/>
    <col min="77" max="81" width="18.7109375" style="1" customWidth="1"/>
    <col min="82" max="82" width="16.42578125" style="1" customWidth="1"/>
    <col min="83" max="83" width="12.5703125" style="1" customWidth="1"/>
    <col min="84" max="84" width="20.7109375" style="1" customWidth="1"/>
    <col min="85" max="85" width="15.7109375" style="1" customWidth="1"/>
    <col min="86" max="86" width="14.42578125" style="1" customWidth="1"/>
    <col min="87" max="87" width="22.7109375" style="1" customWidth="1"/>
    <col min="88" max="88" width="18.42578125" style="1" customWidth="1"/>
    <col min="89" max="89" width="20.28515625" style="1" customWidth="1"/>
    <col min="90" max="90" width="20.5703125" style="1" customWidth="1"/>
    <col min="91" max="91" width="17" style="1" customWidth="1"/>
    <col min="92" max="92" width="19.42578125" style="1" customWidth="1"/>
    <col min="93" max="95" width="23.7109375" style="1" customWidth="1"/>
    <col min="96" max="96" width="14.28515625" style="1" bestFit="1" customWidth="1"/>
    <col min="97" max="97" width="12.140625" style="1" bestFit="1" customWidth="1"/>
    <col min="98" max="98" width="12.7109375" style="1" bestFit="1" customWidth="1"/>
    <col min="99" max="99" width="12.7109375" style="1" customWidth="1"/>
    <col min="100" max="100" width="15" style="1" bestFit="1" customWidth="1"/>
    <col min="101" max="101" width="18.42578125" style="1" customWidth="1"/>
    <col min="102" max="102" width="23.5703125" style="1" bestFit="1" customWidth="1"/>
    <col min="103" max="103" width="19" style="1" customWidth="1"/>
    <col min="104" max="104" width="8.7109375" style="1" customWidth="1"/>
    <col min="105" max="105" width="25.28515625" style="1" bestFit="1" customWidth="1"/>
    <col min="106" max="106" width="11.140625" style="1" customWidth="1"/>
    <col min="107" max="107" width="16" style="1" customWidth="1"/>
    <col min="108" max="108" width="13.140625" style="1" bestFit="1" customWidth="1"/>
    <col min="109" max="109" width="13.140625" style="1" customWidth="1"/>
    <col min="110" max="110" width="16" style="1" customWidth="1"/>
    <col min="111" max="111" width="24.85546875" style="1" bestFit="1" customWidth="1"/>
    <col min="112" max="112" width="24.85546875" style="1" customWidth="1"/>
    <col min="113" max="113" width="17" style="1" customWidth="1"/>
    <col min="114" max="114" width="14.140625" style="1" bestFit="1" customWidth="1"/>
    <col min="115" max="115" width="28" style="1" bestFit="1" customWidth="1"/>
    <col min="116" max="116" width="12.140625" style="1" customWidth="1"/>
    <col min="117" max="117" width="22.28515625" style="1" bestFit="1" customWidth="1"/>
    <col min="118" max="118" width="18.7109375" style="1" bestFit="1" customWidth="1"/>
    <col min="119" max="119" width="26.140625" style="1" bestFit="1" customWidth="1"/>
    <col min="120" max="120" width="10.7109375" style="1" bestFit="1" customWidth="1"/>
    <col min="121" max="121" width="10.7109375" style="1" customWidth="1"/>
    <col min="122" max="122" width="10.28515625" style="1" bestFit="1" customWidth="1"/>
    <col min="123" max="123" width="14.85546875" style="65" bestFit="1" customWidth="1"/>
    <col min="124" max="124" width="16.7109375" style="65" bestFit="1" customWidth="1"/>
    <col min="125" max="125" width="11.140625" style="65" bestFit="1" customWidth="1"/>
    <col min="126" max="126" width="16.5703125" style="1" bestFit="1" customWidth="1"/>
    <col min="127" max="127" width="12.7109375" style="1" bestFit="1" customWidth="1"/>
    <col min="128" max="128" width="14.7109375" style="1" bestFit="1" customWidth="1"/>
    <col min="129" max="129" width="17.28515625" style="1" bestFit="1" customWidth="1"/>
    <col min="130" max="130" width="14.7109375" style="1" customWidth="1"/>
    <col min="131" max="131" width="18.7109375" style="1" bestFit="1" customWidth="1"/>
    <col min="132" max="132" width="21.42578125" style="1" bestFit="1" customWidth="1"/>
    <col min="133" max="133" width="26.28515625" style="1" bestFit="1" customWidth="1"/>
    <col min="134" max="134" width="14.7109375" style="1" customWidth="1"/>
    <col min="135" max="135" width="16.85546875" style="1" bestFit="1" customWidth="1"/>
    <col min="136" max="136" width="14.7109375" style="1" customWidth="1"/>
    <col min="137" max="137" width="17.5703125" style="1" bestFit="1" customWidth="1"/>
    <col min="138" max="138" width="14.7109375" style="1" customWidth="1"/>
    <col min="139" max="139" width="11.7109375" style="1" bestFit="1" customWidth="1"/>
    <col min="140" max="140" width="12.5703125" style="1" bestFit="1" customWidth="1"/>
    <col min="141" max="141" width="22.28515625" style="1" bestFit="1" customWidth="1"/>
    <col min="142" max="142" width="18.42578125" style="1" bestFit="1" customWidth="1"/>
    <col min="143" max="143" width="12.7109375" style="1" bestFit="1" customWidth="1"/>
    <col min="144" max="144" width="10.5703125" style="1" bestFit="1" customWidth="1"/>
    <col min="145" max="145" width="23.28515625" style="1" bestFit="1" customWidth="1"/>
    <col min="146" max="146" width="16" style="1" customWidth="1"/>
    <col min="147" max="147" width="12.85546875" style="1" bestFit="1" customWidth="1"/>
    <col min="148" max="148" width="22.42578125" style="1" bestFit="1" customWidth="1"/>
    <col min="149" max="149" width="14.28515625" style="1" bestFit="1" customWidth="1"/>
    <col min="150" max="153" width="14.28515625" style="1" customWidth="1"/>
    <col min="154" max="154" width="14.5703125" style="1" bestFit="1" customWidth="1"/>
    <col min="155" max="155" width="14.28515625" style="1" bestFit="1" customWidth="1"/>
    <col min="156" max="158" width="14.28515625" style="1" customWidth="1"/>
    <col min="159" max="159" width="19" style="1" bestFit="1" customWidth="1"/>
    <col min="160" max="160" width="11.85546875" style="1" bestFit="1" customWidth="1"/>
    <col min="161" max="161" width="19.7109375" style="1" bestFit="1" customWidth="1"/>
    <col min="162" max="162" width="10.85546875" style="1" bestFit="1" customWidth="1"/>
    <col min="163" max="163" width="21.5703125" style="1" bestFit="1" customWidth="1"/>
    <col min="164" max="164" width="14.5703125" style="1" bestFit="1" customWidth="1"/>
    <col min="165" max="165" width="14.5703125" style="1" customWidth="1"/>
    <col min="166" max="166" width="20" style="1" bestFit="1" customWidth="1"/>
    <col min="167" max="167" width="11.140625" style="1" bestFit="1" customWidth="1"/>
    <col min="168" max="168" width="21" style="1" bestFit="1" customWidth="1"/>
    <col min="169" max="170" width="21" style="1" customWidth="1"/>
    <col min="171" max="171" width="28.42578125" style="1" bestFit="1" customWidth="1"/>
    <col min="172" max="172" width="32.140625" style="1" bestFit="1" customWidth="1"/>
    <col min="173" max="173" width="17.28515625" style="1" bestFit="1" customWidth="1"/>
    <col min="174" max="174" width="15.7109375" style="1" bestFit="1" customWidth="1"/>
    <col min="175" max="175" width="15.7109375" style="1" customWidth="1"/>
    <col min="176" max="176" width="27.140625" style="1" bestFit="1" customWidth="1"/>
    <col min="177" max="177" width="28" style="1" bestFit="1" customWidth="1"/>
    <col min="178" max="178" width="28" style="1" customWidth="1"/>
    <col min="179" max="179" width="24.140625" style="1" bestFit="1" customWidth="1"/>
    <col min="180" max="180" width="13.28515625" style="1" bestFit="1" customWidth="1"/>
    <col min="181" max="181" width="16.140625" style="1" bestFit="1" customWidth="1"/>
    <col min="182" max="182" width="16.140625" style="1" customWidth="1"/>
    <col min="183" max="183" width="12.5703125" style="1" bestFit="1" customWidth="1"/>
    <col min="184" max="184" width="14.7109375" style="1" bestFit="1" customWidth="1"/>
    <col min="185" max="185" width="14.7109375" style="1" customWidth="1"/>
    <col min="186" max="186" width="25.140625" style="1" bestFit="1" customWidth="1"/>
    <col min="187" max="187" width="7" style="1" bestFit="1" customWidth="1"/>
    <col min="188" max="188" width="12" style="1" bestFit="1" customWidth="1"/>
    <col min="189" max="190" width="12" style="1" customWidth="1"/>
    <col min="191" max="191" width="4.42578125" style="1" customWidth="1"/>
    <col min="192" max="192" width="11.85546875" style="1" bestFit="1" customWidth="1"/>
    <col min="193" max="194" width="9.140625" style="1"/>
    <col min="195" max="195" width="14.7109375" style="1" bestFit="1" customWidth="1"/>
    <col min="196" max="196" width="15.85546875" style="1" bestFit="1" customWidth="1"/>
    <col min="197" max="197" width="15" style="1" bestFit="1" customWidth="1"/>
    <col min="198" max="198" width="21.85546875" style="1" bestFit="1" customWidth="1"/>
    <col min="199" max="199" width="21.85546875" style="1" customWidth="1"/>
    <col min="200" max="200" width="19.85546875" style="1" bestFit="1" customWidth="1"/>
    <col min="201" max="201" width="9.140625" style="1"/>
    <col min="202" max="202" width="13.42578125" style="1" bestFit="1" customWidth="1"/>
    <col min="203" max="203" width="13.28515625" style="1" bestFit="1" customWidth="1"/>
    <col min="204" max="204" width="20.28515625" style="1" bestFit="1" customWidth="1"/>
    <col min="205" max="205" width="13.28515625" style="1" bestFit="1" customWidth="1"/>
    <col min="206" max="206" width="12.140625" style="1" bestFit="1" customWidth="1"/>
    <col min="207" max="207" width="12" style="1" bestFit="1" customWidth="1"/>
    <col min="208" max="208" width="12.7109375" style="1" bestFit="1" customWidth="1"/>
    <col min="209" max="209" width="15" style="1" bestFit="1" customWidth="1"/>
    <col min="210" max="210" width="15.42578125" style="1" bestFit="1" customWidth="1"/>
    <col min="211" max="211" width="15.140625" style="1" bestFit="1" customWidth="1"/>
    <col min="212" max="212" width="16.5703125" style="1" bestFit="1" customWidth="1"/>
    <col min="213" max="213" width="23.28515625" style="1" bestFit="1" customWidth="1"/>
    <col min="214" max="214" width="12.7109375" style="1" bestFit="1" customWidth="1"/>
    <col min="215" max="215" width="9.140625" style="1"/>
    <col min="216" max="216" width="25" style="1" bestFit="1" customWidth="1"/>
    <col min="217" max="217" width="16" style="1" bestFit="1" customWidth="1"/>
    <col min="218" max="16384" width="9.140625" style="1"/>
  </cols>
  <sheetData>
    <row r="1" spans="1:228" ht="15.75" x14ac:dyDescent="0.25">
      <c r="F1" s="375" t="s">
        <v>2268</v>
      </c>
      <c r="G1" s="376"/>
      <c r="H1" s="8"/>
      <c r="I1" s="377" t="s">
        <v>205</v>
      </c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8" t="s">
        <v>90</v>
      </c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F1" s="378"/>
      <c r="BG1" s="378"/>
      <c r="BH1" s="378"/>
      <c r="BI1" s="379" t="s">
        <v>77</v>
      </c>
      <c r="BJ1" s="379"/>
      <c r="BK1" s="379"/>
      <c r="BL1" s="379"/>
      <c r="BM1" s="379"/>
      <c r="BN1" s="377" t="s">
        <v>65</v>
      </c>
      <c r="BO1" s="377"/>
      <c r="BP1" s="377"/>
      <c r="BQ1" s="382" t="s">
        <v>15</v>
      </c>
      <c r="BR1" s="382"/>
      <c r="BS1" s="382"/>
      <c r="BT1" s="382"/>
      <c r="BU1" s="382"/>
      <c r="BV1" s="382"/>
      <c r="BW1" s="382"/>
      <c r="BX1" s="382"/>
      <c r="BY1" s="382"/>
      <c r="BZ1" s="382"/>
      <c r="CA1" s="382"/>
      <c r="CB1" s="382"/>
      <c r="CC1" s="382"/>
      <c r="CD1" s="382"/>
      <c r="CE1" s="383" t="s">
        <v>4</v>
      </c>
      <c r="CF1" s="383"/>
      <c r="CG1" s="383"/>
      <c r="CH1" s="383"/>
      <c r="CI1" s="383"/>
      <c r="CJ1" s="383"/>
      <c r="CK1" s="383"/>
      <c r="CL1" s="383"/>
      <c r="CM1" s="383"/>
      <c r="CN1" s="383"/>
      <c r="CO1" s="377" t="s">
        <v>21</v>
      </c>
      <c r="CP1" s="377"/>
      <c r="CQ1" s="377"/>
      <c r="CR1" s="377"/>
      <c r="CS1" s="377"/>
      <c r="CT1" s="377"/>
      <c r="CU1" s="377"/>
      <c r="CV1" s="377"/>
      <c r="CW1" s="377"/>
      <c r="CX1" s="377"/>
      <c r="CY1" s="377"/>
      <c r="CZ1" s="377"/>
      <c r="DA1" s="377"/>
      <c r="DB1" s="377"/>
      <c r="DC1" s="377"/>
      <c r="DD1" s="377"/>
      <c r="DE1" s="377"/>
      <c r="DF1" s="377"/>
      <c r="DG1" s="377"/>
      <c r="DH1" s="377"/>
      <c r="DI1" s="377"/>
      <c r="DK1" s="90"/>
      <c r="DL1" s="81"/>
      <c r="DM1" s="142"/>
      <c r="DN1" s="145"/>
      <c r="DO1" s="53"/>
      <c r="DP1" s="374" t="s">
        <v>317</v>
      </c>
      <c r="DQ1" s="374"/>
      <c r="DR1" s="374"/>
      <c r="DS1" s="374"/>
      <c r="DT1" s="374"/>
      <c r="DU1" s="374"/>
      <c r="DV1" s="374"/>
      <c r="DW1" s="374"/>
      <c r="DX1" s="374"/>
      <c r="DY1" s="374"/>
      <c r="DZ1" s="374"/>
      <c r="EA1" s="374"/>
      <c r="EB1" s="374"/>
      <c r="EC1" s="374"/>
      <c r="ED1" s="374"/>
      <c r="EE1" s="374"/>
      <c r="EF1" s="374"/>
      <c r="EG1" s="374"/>
      <c r="EH1" s="374"/>
      <c r="EI1" s="374"/>
      <c r="EJ1" s="374"/>
      <c r="EK1" s="374"/>
      <c r="EL1" s="374"/>
      <c r="EM1" s="374"/>
      <c r="EN1" s="374"/>
      <c r="EO1" s="374"/>
      <c r="EP1" s="374"/>
      <c r="EQ1" s="374"/>
      <c r="ER1" s="374"/>
      <c r="ES1" s="374"/>
      <c r="ET1" s="374"/>
      <c r="EU1" s="374"/>
      <c r="EV1" s="374"/>
      <c r="EW1" s="374"/>
      <c r="EX1" s="374"/>
      <c r="EY1" s="374"/>
      <c r="EZ1" s="374"/>
      <c r="FA1" s="374"/>
      <c r="FB1" s="374"/>
      <c r="FC1" s="374"/>
      <c r="FD1" s="374"/>
      <c r="FE1" s="374"/>
      <c r="FF1" s="374"/>
      <c r="FG1" s="374"/>
      <c r="FH1" s="374"/>
      <c r="FI1" s="374"/>
      <c r="FJ1" s="374"/>
      <c r="FK1" s="374"/>
      <c r="FL1" s="374"/>
      <c r="FM1" s="374"/>
      <c r="FN1" s="374"/>
      <c r="FO1" s="374"/>
      <c r="FP1" s="374"/>
      <c r="FQ1" s="374"/>
      <c r="FR1" s="374"/>
      <c r="FS1" s="374"/>
      <c r="FT1" s="374"/>
      <c r="FU1" s="374"/>
      <c r="FV1" s="374"/>
      <c r="FW1" s="374"/>
      <c r="FX1" s="374"/>
      <c r="FY1" s="127"/>
      <c r="FZ1" s="149"/>
      <c r="GA1" s="185"/>
      <c r="GB1" s="185"/>
      <c r="GC1" s="191"/>
      <c r="GD1" s="374"/>
      <c r="GE1" s="374"/>
      <c r="GF1" s="374"/>
      <c r="GG1" s="365"/>
      <c r="GH1" s="293"/>
      <c r="GI1" s="281"/>
      <c r="GJ1" s="384" t="s">
        <v>2332</v>
      </c>
      <c r="GK1" s="384"/>
      <c r="GL1" s="384"/>
      <c r="GM1" s="384"/>
      <c r="GN1" s="384"/>
      <c r="GO1" s="384"/>
      <c r="GP1" s="384"/>
      <c r="GQ1" s="384"/>
      <c r="GR1" s="384"/>
      <c r="GS1" s="384"/>
      <c r="GT1" s="384"/>
      <c r="GU1" s="384"/>
      <c r="GV1" s="384"/>
      <c r="GW1" s="384"/>
      <c r="GX1" s="384"/>
      <c r="GY1" s="384"/>
      <c r="GZ1" s="384"/>
      <c r="HA1" s="384"/>
      <c r="HB1" s="384"/>
      <c r="HC1" s="384"/>
      <c r="HD1" s="384"/>
      <c r="HE1" s="384"/>
      <c r="HF1" s="384"/>
      <c r="HG1" s="384"/>
      <c r="HH1" s="384"/>
      <c r="HI1" s="384"/>
      <c r="HJ1" s="384"/>
      <c r="HK1" s="384"/>
      <c r="HL1" s="384"/>
      <c r="HM1" s="384"/>
      <c r="HN1" s="384"/>
      <c r="HO1" s="384"/>
      <c r="HP1" s="384"/>
      <c r="HQ1" s="384"/>
      <c r="HR1" s="384"/>
      <c r="HS1" s="384"/>
      <c r="HT1" s="384"/>
    </row>
    <row r="2" spans="1:228" s="24" customFormat="1" x14ac:dyDescent="0.25">
      <c r="A2" s="195" t="s">
        <v>0</v>
      </c>
      <c r="B2" s="163" t="s">
        <v>5</v>
      </c>
      <c r="C2" s="24" t="s">
        <v>89</v>
      </c>
      <c r="D2" s="220" t="s">
        <v>95</v>
      </c>
      <c r="E2" s="247" t="s">
        <v>2229</v>
      </c>
      <c r="F2" s="259" t="s">
        <v>2269</v>
      </c>
      <c r="G2" s="260"/>
      <c r="H2" s="24" t="s">
        <v>28</v>
      </c>
      <c r="I2" s="129" t="s">
        <v>382</v>
      </c>
      <c r="J2" s="214" t="s">
        <v>2044</v>
      </c>
      <c r="K2" s="214" t="s">
        <v>2045</v>
      </c>
      <c r="L2" s="214" t="s">
        <v>2046</v>
      </c>
      <c r="M2" s="169" t="s">
        <v>1548</v>
      </c>
      <c r="N2" s="186" t="s">
        <v>1658</v>
      </c>
      <c r="O2" s="186" t="s">
        <v>1660</v>
      </c>
      <c r="P2" s="186" t="s">
        <v>1659</v>
      </c>
      <c r="Q2" s="105" t="s">
        <v>705</v>
      </c>
      <c r="R2" s="186" t="s">
        <v>1661</v>
      </c>
      <c r="S2" s="24" t="s">
        <v>93</v>
      </c>
      <c r="T2" s="70" t="s">
        <v>567</v>
      </c>
      <c r="U2" s="153" t="s">
        <v>1368</v>
      </c>
      <c r="V2" s="53" t="s">
        <v>353</v>
      </c>
      <c r="W2" s="24" t="s">
        <v>206</v>
      </c>
      <c r="X2" s="240" t="s">
        <v>2204</v>
      </c>
      <c r="Y2" s="24" t="s">
        <v>207</v>
      </c>
      <c r="Z2" s="24" t="s">
        <v>91</v>
      </c>
      <c r="AA2" s="26" t="s">
        <v>261</v>
      </c>
      <c r="AB2" s="81" t="s">
        <v>606</v>
      </c>
      <c r="AC2" s="128" t="s">
        <v>938</v>
      </c>
      <c r="AD2" s="97" t="s">
        <v>674</v>
      </c>
      <c r="AE2" s="175" t="s">
        <v>1565</v>
      </c>
      <c r="AF2" s="163" t="s">
        <v>1507</v>
      </c>
      <c r="AG2" s="70" t="s">
        <v>531</v>
      </c>
      <c r="AH2" s="70" t="s">
        <v>541</v>
      </c>
      <c r="AI2" s="53" t="s">
        <v>2513</v>
      </c>
      <c r="AJ2" s="105" t="s">
        <v>708</v>
      </c>
      <c r="AK2" s="70" t="s">
        <v>553</v>
      </c>
      <c r="AL2" s="24" t="s">
        <v>93</v>
      </c>
      <c r="AM2" s="79" t="s">
        <v>632</v>
      </c>
      <c r="AN2" s="240" t="s">
        <v>2191</v>
      </c>
      <c r="AO2" s="126" t="s">
        <v>931</v>
      </c>
      <c r="AP2" s="175" t="s">
        <v>1566</v>
      </c>
      <c r="AQ2" s="86" t="s">
        <v>635</v>
      </c>
      <c r="AR2" s="156" t="s">
        <v>1425</v>
      </c>
      <c r="AS2" s="167" t="s">
        <v>1530</v>
      </c>
      <c r="AT2" s="192" t="s">
        <v>1732</v>
      </c>
      <c r="AU2" s="119" t="s">
        <v>895</v>
      </c>
      <c r="AV2" s="158" t="s">
        <v>1459</v>
      </c>
      <c r="AW2" s="145" t="s">
        <v>1240</v>
      </c>
      <c r="AX2" s="163" t="s">
        <v>1505</v>
      </c>
      <c r="AY2" s="70" t="s">
        <v>556</v>
      </c>
      <c r="AZ2" s="156" t="s">
        <v>1434</v>
      </c>
      <c r="BA2" s="53" t="s">
        <v>640</v>
      </c>
      <c r="BB2" s="70" t="s">
        <v>552</v>
      </c>
      <c r="BC2" s="70" t="s">
        <v>565</v>
      </c>
      <c r="BD2" s="79" t="s">
        <v>597</v>
      </c>
      <c r="BE2" s="70" t="s">
        <v>488</v>
      </c>
      <c r="BF2" s="89" t="s">
        <v>1247</v>
      </c>
      <c r="BG2" s="24" t="s">
        <v>242</v>
      </c>
      <c r="BH2" s="24" t="s">
        <v>92</v>
      </c>
      <c r="BI2" s="24" t="s">
        <v>80</v>
      </c>
      <c r="BJ2" s="156" t="s">
        <v>1430</v>
      </c>
      <c r="BK2" s="86" t="s">
        <v>256</v>
      </c>
      <c r="BL2" s="97" t="s">
        <v>673</v>
      </c>
      <c r="BM2" s="24" t="s">
        <v>81</v>
      </c>
      <c r="BN2" s="24" t="s">
        <v>80</v>
      </c>
      <c r="BO2" s="156" t="s">
        <v>1430</v>
      </c>
      <c r="BP2" s="24" t="s">
        <v>81</v>
      </c>
      <c r="BQ2" s="24" t="s">
        <v>226</v>
      </c>
      <c r="BR2" s="24" t="s">
        <v>69</v>
      </c>
      <c r="BS2" s="24" t="s">
        <v>84</v>
      </c>
      <c r="BT2" s="24" t="s">
        <v>76</v>
      </c>
      <c r="BU2" s="24" t="s">
        <v>38</v>
      </c>
      <c r="BV2" s="24" t="s">
        <v>271</v>
      </c>
      <c r="BW2" s="24" t="s">
        <v>34</v>
      </c>
      <c r="BX2" s="24" t="s">
        <v>35</v>
      </c>
      <c r="BY2" s="24" t="s">
        <v>6</v>
      </c>
      <c r="BZ2" s="24" t="s">
        <v>82</v>
      </c>
      <c r="CA2" s="24" t="s">
        <v>63</v>
      </c>
      <c r="CB2" s="24" t="s">
        <v>68</v>
      </c>
      <c r="CC2" s="24" t="s">
        <v>221</v>
      </c>
      <c r="CD2" s="24" t="s">
        <v>83</v>
      </c>
      <c r="CE2" s="24" t="s">
        <v>37</v>
      </c>
      <c r="CF2" s="24" t="s">
        <v>74</v>
      </c>
      <c r="CG2" s="24" t="s">
        <v>39</v>
      </c>
      <c r="CH2" s="24" t="s">
        <v>6</v>
      </c>
      <c r="CI2" s="24" t="s">
        <v>38</v>
      </c>
      <c r="CJ2" s="24" t="s">
        <v>78</v>
      </c>
      <c r="CK2" s="24" t="s">
        <v>79</v>
      </c>
      <c r="CL2" s="24" t="s">
        <v>59</v>
      </c>
      <c r="CM2" s="24" t="s">
        <v>36</v>
      </c>
      <c r="CN2" s="24" t="s">
        <v>63</v>
      </c>
      <c r="CO2" s="24" t="s">
        <v>38</v>
      </c>
      <c r="CP2" s="338" t="s">
        <v>2542</v>
      </c>
      <c r="CQ2" s="347" t="s">
        <v>2390</v>
      </c>
      <c r="CR2" s="146" t="s">
        <v>6</v>
      </c>
      <c r="CS2" s="53" t="s">
        <v>37</v>
      </c>
      <c r="CT2" s="144" t="s">
        <v>1186</v>
      </c>
      <c r="CU2" s="359" t="s">
        <v>2597</v>
      </c>
      <c r="CV2" s="144" t="s">
        <v>1189</v>
      </c>
      <c r="CW2" s="24" t="s">
        <v>39</v>
      </c>
      <c r="CX2" s="168" t="s">
        <v>690</v>
      </c>
      <c r="CY2" s="24" t="s">
        <v>19</v>
      </c>
      <c r="CZ2" s="230" t="s">
        <v>2125</v>
      </c>
      <c r="DA2" s="24" t="s">
        <v>68</v>
      </c>
      <c r="DB2" s="37" t="s">
        <v>323</v>
      </c>
      <c r="DC2" s="24" t="s">
        <v>69</v>
      </c>
      <c r="DD2" s="197" t="s">
        <v>1776</v>
      </c>
      <c r="DE2" s="220" t="s">
        <v>2065</v>
      </c>
      <c r="DF2" s="53" t="s">
        <v>377</v>
      </c>
      <c r="DG2" s="163" t="s">
        <v>1514</v>
      </c>
      <c r="DH2" s="354" t="s">
        <v>2587</v>
      </c>
      <c r="DI2" s="24" t="s">
        <v>62</v>
      </c>
      <c r="DJ2" s="8" t="s">
        <v>392</v>
      </c>
      <c r="DK2" s="53" t="s">
        <v>2190</v>
      </c>
      <c r="DL2" s="81" t="s">
        <v>604</v>
      </c>
      <c r="DM2" s="142" t="s">
        <v>1132</v>
      </c>
      <c r="DN2" s="145" t="s">
        <v>1248</v>
      </c>
      <c r="DO2" s="53" t="s">
        <v>634</v>
      </c>
      <c r="DP2" s="24" t="s">
        <v>306</v>
      </c>
      <c r="DQ2" s="119" t="s">
        <v>896</v>
      </c>
      <c r="DR2" s="66" t="s">
        <v>307</v>
      </c>
      <c r="DS2" s="238" t="s">
        <v>2141</v>
      </c>
      <c r="DT2" s="238" t="s">
        <v>2142</v>
      </c>
      <c r="DU2" s="238" t="s">
        <v>2143</v>
      </c>
      <c r="DV2" s="34" t="s">
        <v>69</v>
      </c>
      <c r="DW2" s="186" t="s">
        <v>1672</v>
      </c>
      <c r="DX2" s="34" t="s">
        <v>84</v>
      </c>
      <c r="DY2" s="105" t="s">
        <v>712</v>
      </c>
      <c r="DZ2" s="105" t="s">
        <v>710</v>
      </c>
      <c r="EA2" s="240" t="s">
        <v>2203</v>
      </c>
      <c r="EB2" s="223" t="s">
        <v>2093</v>
      </c>
      <c r="EC2" s="147" t="s">
        <v>1289</v>
      </c>
      <c r="ED2" s="105" t="s">
        <v>902</v>
      </c>
      <c r="EE2" s="105" t="s">
        <v>888</v>
      </c>
      <c r="EF2" s="82" t="s">
        <v>624</v>
      </c>
      <c r="EG2" s="105" t="s">
        <v>699</v>
      </c>
      <c r="EH2" s="70" t="s">
        <v>37</v>
      </c>
      <c r="EI2" s="223" t="s">
        <v>2089</v>
      </c>
      <c r="EJ2" s="34" t="s">
        <v>76</v>
      </c>
      <c r="EK2" s="34" t="s">
        <v>38</v>
      </c>
      <c r="EL2" s="89" t="s">
        <v>611</v>
      </c>
      <c r="EM2" s="82" t="s">
        <v>612</v>
      </c>
      <c r="EN2" s="82" t="s">
        <v>613</v>
      </c>
      <c r="EO2" s="82" t="s">
        <v>620</v>
      </c>
      <c r="EP2" s="70" t="s">
        <v>377</v>
      </c>
      <c r="EQ2" s="34" t="s">
        <v>271</v>
      </c>
      <c r="ER2" s="34" t="s">
        <v>34</v>
      </c>
      <c r="ES2" s="34" t="s">
        <v>35</v>
      </c>
      <c r="ET2" s="105" t="s">
        <v>713</v>
      </c>
      <c r="EU2" s="82" t="s">
        <v>621</v>
      </c>
      <c r="EV2" s="82" t="s">
        <v>622</v>
      </c>
      <c r="EW2" s="82" t="s">
        <v>623</v>
      </c>
      <c r="EX2" s="214" t="s">
        <v>2047</v>
      </c>
      <c r="EY2" s="34" t="s">
        <v>6</v>
      </c>
      <c r="EZ2" s="80" t="s">
        <v>603</v>
      </c>
      <c r="FA2" s="82" t="s">
        <v>618</v>
      </c>
      <c r="FB2" s="82" t="s">
        <v>1249</v>
      </c>
      <c r="FC2" s="34" t="s">
        <v>82</v>
      </c>
      <c r="FD2" s="80" t="s">
        <v>489</v>
      </c>
      <c r="FE2" s="34" t="s">
        <v>63</v>
      </c>
      <c r="FF2" s="34" t="s">
        <v>68</v>
      </c>
      <c r="FG2" s="53" t="s">
        <v>442</v>
      </c>
      <c r="FH2" s="154" t="s">
        <v>1371</v>
      </c>
      <c r="FI2" s="178" t="s">
        <v>1593</v>
      </c>
      <c r="FJ2" s="34" t="s">
        <v>221</v>
      </c>
      <c r="FK2" s="34" t="s">
        <v>83</v>
      </c>
      <c r="FL2" s="24" t="s">
        <v>19</v>
      </c>
      <c r="FM2" s="82" t="s">
        <v>648</v>
      </c>
      <c r="FN2" s="82" t="s">
        <v>649</v>
      </c>
      <c r="FO2" s="82" t="s">
        <v>650</v>
      </c>
      <c r="FP2" s="82" t="s">
        <v>962</v>
      </c>
      <c r="FQ2" s="70" t="s">
        <v>470</v>
      </c>
      <c r="FR2" s="53" t="s">
        <v>363</v>
      </c>
      <c r="FS2" s="70" t="s">
        <v>489</v>
      </c>
      <c r="FT2" s="97" t="s">
        <v>676</v>
      </c>
      <c r="FU2" s="70" t="s">
        <v>490</v>
      </c>
      <c r="FV2" s="79" t="s">
        <v>596</v>
      </c>
      <c r="FW2" s="53" t="s">
        <v>417</v>
      </c>
      <c r="FX2" s="70" t="s">
        <v>472</v>
      </c>
      <c r="FY2" s="126" t="s">
        <v>933</v>
      </c>
      <c r="FZ2" s="147" t="s">
        <v>1293</v>
      </c>
      <c r="GA2" s="184" t="s">
        <v>1654</v>
      </c>
      <c r="GB2" s="184" t="s">
        <v>1655</v>
      </c>
      <c r="GC2" s="190" t="s">
        <v>1726</v>
      </c>
      <c r="GD2" s="70" t="s">
        <v>566</v>
      </c>
      <c r="GE2" s="277" t="s">
        <v>2340</v>
      </c>
      <c r="GF2" s="24" t="s">
        <v>2280</v>
      </c>
      <c r="GG2" s="366" t="s">
        <v>2608</v>
      </c>
      <c r="GH2" s="294" t="s">
        <v>2391</v>
      </c>
      <c r="GI2" s="281"/>
      <c r="GJ2" s="24" t="s">
        <v>489</v>
      </c>
      <c r="GK2" s="24" t="s">
        <v>2333</v>
      </c>
      <c r="GL2" s="24" t="s">
        <v>2334</v>
      </c>
      <c r="GM2" s="24" t="s">
        <v>2335</v>
      </c>
      <c r="GN2" s="24" t="s">
        <v>2336</v>
      </c>
      <c r="GO2" s="24" t="s">
        <v>2337</v>
      </c>
      <c r="GP2" s="24" t="s">
        <v>2339</v>
      </c>
      <c r="GQ2" s="314" t="s">
        <v>2469</v>
      </c>
      <c r="GR2" s="24" t="s">
        <v>2343</v>
      </c>
      <c r="GS2" s="24" t="s">
        <v>2345</v>
      </c>
      <c r="GT2" s="24" t="s">
        <v>2348</v>
      </c>
      <c r="GU2" s="24" t="s">
        <v>2357</v>
      </c>
      <c r="GV2" s="24" t="s">
        <v>2359</v>
      </c>
      <c r="GW2" s="24" t="s">
        <v>2364</v>
      </c>
      <c r="GX2" s="24" t="s">
        <v>2365</v>
      </c>
      <c r="GY2" s="24" t="s">
        <v>2280</v>
      </c>
      <c r="GZ2" s="24" t="s">
        <v>612</v>
      </c>
      <c r="HA2" s="24" t="s">
        <v>2374</v>
      </c>
      <c r="HB2" s="24" t="s">
        <v>442</v>
      </c>
      <c r="HC2" s="24" t="s">
        <v>2379</v>
      </c>
      <c r="HD2" s="24" t="s">
        <v>2380</v>
      </c>
      <c r="HE2" s="24" t="s">
        <v>2390</v>
      </c>
      <c r="HF2" s="24" t="s">
        <v>2404</v>
      </c>
      <c r="HG2" s="24" t="s">
        <v>2428</v>
      </c>
      <c r="HH2" s="24" t="s">
        <v>2434</v>
      </c>
      <c r="HI2" s="24" t="s">
        <v>2558</v>
      </c>
    </row>
    <row r="3" spans="1:228" x14ac:dyDescent="0.25">
      <c r="A3" s="195" t="s">
        <v>1</v>
      </c>
      <c r="B3" s="18" t="s">
        <v>2</v>
      </c>
      <c r="C3" s="1">
        <v>4765</v>
      </c>
    </row>
    <row r="4" spans="1:228" x14ac:dyDescent="0.25">
      <c r="A4" s="195" t="s">
        <v>3</v>
      </c>
      <c r="B4" s="18" t="s">
        <v>12</v>
      </c>
      <c r="C4" s="7">
        <v>13000</v>
      </c>
      <c r="D4" s="225">
        <v>1</v>
      </c>
      <c r="E4" s="225"/>
      <c r="F4" s="225"/>
      <c r="G4" s="225"/>
      <c r="BI4" s="1">
        <v>-13000</v>
      </c>
    </row>
    <row r="5" spans="1:228" x14ac:dyDescent="0.25">
      <c r="A5" s="11" t="s">
        <v>3</v>
      </c>
      <c r="B5" s="41" t="s">
        <v>16</v>
      </c>
      <c r="C5" s="14">
        <v>-17748</v>
      </c>
      <c r="D5" s="11" t="s">
        <v>103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4">
        <v>17748</v>
      </c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228" ht="22.5" customHeight="1" x14ac:dyDescent="0.25">
      <c r="A6" s="11" t="s">
        <v>3</v>
      </c>
      <c r="B6" s="41" t="s">
        <v>155</v>
      </c>
      <c r="C6" s="14"/>
      <c r="D6" s="10" t="s">
        <v>156</v>
      </c>
      <c r="E6" s="248"/>
      <c r="F6" s="261"/>
      <c r="G6" s="26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4">
        <v>-17722</v>
      </c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CE6" s="1">
        <v>600</v>
      </c>
      <c r="CG6" s="1">
        <v>13100</v>
      </c>
      <c r="CH6" s="1">
        <v>322</v>
      </c>
      <c r="CI6" s="1">
        <v>200</v>
      </c>
      <c r="CJ6" s="1">
        <v>3500</v>
      </c>
    </row>
    <row r="7" spans="1:228" x14ac:dyDescent="0.25">
      <c r="A7" s="195" t="s">
        <v>3</v>
      </c>
      <c r="B7" s="18" t="s">
        <v>94</v>
      </c>
      <c r="C7" s="7">
        <v>26</v>
      </c>
      <c r="D7" s="220" t="s">
        <v>142</v>
      </c>
      <c r="Z7" s="1">
        <v>-26</v>
      </c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228" x14ac:dyDescent="0.25">
      <c r="A8" s="195" t="s">
        <v>17</v>
      </c>
      <c r="B8" s="41" t="s">
        <v>289</v>
      </c>
      <c r="C8" s="7">
        <v>150000</v>
      </c>
      <c r="D8" s="220" t="s">
        <v>143</v>
      </c>
      <c r="H8" s="1">
        <v>-150000</v>
      </c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228" x14ac:dyDescent="0.25">
      <c r="A9" s="195" t="s">
        <v>8</v>
      </c>
      <c r="B9" s="18" t="s">
        <v>12</v>
      </c>
      <c r="C9" s="7">
        <v>13566</v>
      </c>
      <c r="D9" s="220" t="s">
        <v>144</v>
      </c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I9" s="1">
        <v>-13566</v>
      </c>
    </row>
    <row r="10" spans="1:228" x14ac:dyDescent="0.25">
      <c r="A10" s="11" t="s">
        <v>8</v>
      </c>
      <c r="B10" s="41" t="s">
        <v>16</v>
      </c>
      <c r="C10" s="14">
        <v>-13566</v>
      </c>
      <c r="D10" s="11" t="s">
        <v>104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4">
        <v>13566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</row>
    <row r="11" spans="1:228" x14ac:dyDescent="0.25">
      <c r="A11" s="11" t="s">
        <v>8</v>
      </c>
      <c r="B11" s="41" t="s">
        <v>155</v>
      </c>
      <c r="C11" s="14"/>
      <c r="D11" s="10" t="s">
        <v>162</v>
      </c>
      <c r="E11" s="248"/>
      <c r="F11" s="261"/>
      <c r="G11" s="26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4">
        <v>-10266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CH11" s="1">
        <v>266</v>
      </c>
      <c r="CK11" s="1">
        <v>10000</v>
      </c>
    </row>
    <row r="12" spans="1:228" x14ac:dyDescent="0.25">
      <c r="A12" s="11" t="s">
        <v>9</v>
      </c>
      <c r="B12" s="41" t="s">
        <v>290</v>
      </c>
      <c r="C12" s="14">
        <v>200000</v>
      </c>
      <c r="D12" s="11" t="s">
        <v>145</v>
      </c>
      <c r="E12" s="11"/>
      <c r="F12" s="11"/>
      <c r="G12" s="11"/>
      <c r="H12" s="11">
        <v>-200000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228" x14ac:dyDescent="0.25">
      <c r="A13" s="11" t="s">
        <v>9</v>
      </c>
      <c r="B13" s="41" t="s">
        <v>16</v>
      </c>
      <c r="C13" s="14">
        <v>-10000</v>
      </c>
      <c r="D13" s="11" t="s">
        <v>105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4">
        <v>1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228" x14ac:dyDescent="0.25">
      <c r="A14" s="11" t="s">
        <v>9</v>
      </c>
      <c r="B14" s="41" t="s">
        <v>155</v>
      </c>
      <c r="C14" s="14"/>
      <c r="D14" s="10" t="s">
        <v>167</v>
      </c>
      <c r="E14" s="248"/>
      <c r="F14" s="261"/>
      <c r="G14" s="26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4">
        <v>-10000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CI14" s="1">
        <v>635</v>
      </c>
      <c r="CM14" s="1">
        <v>7865</v>
      </c>
      <c r="CN14" s="1">
        <v>1500</v>
      </c>
    </row>
    <row r="15" spans="1:228" x14ac:dyDescent="0.25">
      <c r="A15" s="11" t="s">
        <v>9</v>
      </c>
      <c r="B15" s="41" t="s">
        <v>13</v>
      </c>
      <c r="C15" s="7">
        <v>-2000</v>
      </c>
      <c r="D15" s="11" t="s">
        <v>106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BH15" s="7">
        <v>2000</v>
      </c>
    </row>
    <row r="16" spans="1:228" x14ac:dyDescent="0.25">
      <c r="A16" s="11" t="s">
        <v>9</v>
      </c>
      <c r="B16" s="18" t="s">
        <v>12</v>
      </c>
      <c r="C16" s="14">
        <v>12000</v>
      </c>
      <c r="D16" s="11" t="s">
        <v>146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I16" s="1">
        <v>-12000</v>
      </c>
    </row>
    <row r="17" spans="1:103" x14ac:dyDescent="0.25">
      <c r="A17" s="195" t="s">
        <v>10</v>
      </c>
      <c r="B17" s="18" t="s">
        <v>11</v>
      </c>
      <c r="C17" s="11">
        <v>-50000</v>
      </c>
      <c r="D17" s="220" t="s">
        <v>107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N17" s="1">
        <v>50000</v>
      </c>
    </row>
    <row r="18" spans="1:103" x14ac:dyDescent="0.25">
      <c r="A18" s="195" t="s">
        <v>14</v>
      </c>
      <c r="B18" s="41" t="s">
        <v>227</v>
      </c>
      <c r="C18" s="11">
        <v>-200000</v>
      </c>
      <c r="D18" s="220" t="s">
        <v>108</v>
      </c>
      <c r="H18" s="24"/>
      <c r="I18" s="129"/>
      <c r="J18" s="214"/>
      <c r="K18" s="214"/>
      <c r="L18" s="214"/>
      <c r="M18" s="169"/>
      <c r="N18" s="186"/>
      <c r="O18" s="186"/>
      <c r="P18" s="186"/>
      <c r="Q18" s="105"/>
      <c r="R18" s="186"/>
      <c r="S18" s="24"/>
      <c r="T18" s="70"/>
      <c r="U18" s="153"/>
      <c r="V18" s="43"/>
      <c r="W18" s="24"/>
      <c r="X18" s="240"/>
      <c r="Y18" s="24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Q18" s="1">
        <v>200000</v>
      </c>
    </row>
    <row r="19" spans="1:103" x14ac:dyDescent="0.25">
      <c r="A19" s="195" t="s">
        <v>18</v>
      </c>
      <c r="B19" s="18" t="s">
        <v>11</v>
      </c>
      <c r="C19" s="11">
        <v>-3316</v>
      </c>
      <c r="D19" s="220" t="s">
        <v>109</v>
      </c>
      <c r="H19" s="24"/>
      <c r="I19" s="129"/>
      <c r="J19" s="214"/>
      <c r="K19" s="214"/>
      <c r="L19" s="214"/>
      <c r="M19" s="169"/>
      <c r="N19" s="186"/>
      <c r="O19" s="186"/>
      <c r="P19" s="186"/>
      <c r="Q19" s="105"/>
      <c r="R19" s="186"/>
      <c r="S19" s="24"/>
      <c r="T19" s="70"/>
      <c r="U19" s="153"/>
      <c r="V19" s="43"/>
      <c r="W19" s="24"/>
      <c r="X19" s="240"/>
      <c r="Y19" s="24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N19" s="1">
        <v>3316</v>
      </c>
    </row>
    <row r="20" spans="1:103" x14ac:dyDescent="0.25">
      <c r="A20" s="17" t="s">
        <v>18</v>
      </c>
      <c r="B20" s="83" t="s">
        <v>16</v>
      </c>
      <c r="C20" s="11">
        <v>-10200</v>
      </c>
      <c r="D20" s="220" t="s">
        <v>110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5">
        <v>10200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</row>
    <row r="21" spans="1:103" x14ac:dyDescent="0.25">
      <c r="A21" s="195" t="s">
        <v>18</v>
      </c>
      <c r="B21" s="18" t="s">
        <v>13</v>
      </c>
      <c r="C21" s="11">
        <v>-30000</v>
      </c>
      <c r="D21" s="220" t="s">
        <v>111</v>
      </c>
      <c r="H21" s="24"/>
      <c r="I21" s="129"/>
      <c r="J21" s="214"/>
      <c r="K21" s="214"/>
      <c r="L21" s="214"/>
      <c r="M21" s="169"/>
      <c r="N21" s="186"/>
      <c r="O21" s="186"/>
      <c r="P21" s="186"/>
      <c r="Q21" s="105"/>
      <c r="R21" s="186"/>
      <c r="S21" s="24"/>
      <c r="T21" s="70"/>
      <c r="U21" s="153"/>
      <c r="V21" s="43"/>
      <c r="W21" s="24"/>
      <c r="X21" s="240"/>
      <c r="Y21" s="24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1">
        <v>30000</v>
      </c>
    </row>
    <row r="22" spans="1:103" x14ac:dyDescent="0.25">
      <c r="A22" s="195" t="s">
        <v>18</v>
      </c>
      <c r="B22" s="18" t="s">
        <v>155</v>
      </c>
      <c r="C22" s="11"/>
      <c r="D22" s="10" t="s">
        <v>169</v>
      </c>
      <c r="E22" s="248"/>
      <c r="F22" s="261"/>
      <c r="G22" s="261"/>
      <c r="H22" s="24"/>
      <c r="I22" s="129"/>
      <c r="J22" s="214"/>
      <c r="K22" s="214"/>
      <c r="L22" s="214"/>
      <c r="M22" s="169"/>
      <c r="N22" s="186"/>
      <c r="O22" s="186"/>
      <c r="P22" s="186"/>
      <c r="Q22" s="105"/>
      <c r="R22" s="186"/>
      <c r="S22" s="24"/>
      <c r="T22" s="70"/>
      <c r="U22" s="153"/>
      <c r="V22" s="43"/>
      <c r="W22" s="24"/>
      <c r="X22" s="240"/>
      <c r="Y22" s="24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1">
        <v>-1750</v>
      </c>
      <c r="CI22" s="1">
        <v>1180</v>
      </c>
      <c r="CN22" s="1">
        <v>110</v>
      </c>
      <c r="CY22" s="1">
        <v>460</v>
      </c>
    </row>
    <row r="23" spans="1:103" x14ac:dyDescent="0.25">
      <c r="A23" s="195" t="s">
        <v>18</v>
      </c>
      <c r="B23" s="18" t="s">
        <v>20</v>
      </c>
      <c r="C23" s="11">
        <v>250</v>
      </c>
      <c r="D23" s="220" t="s">
        <v>147</v>
      </c>
      <c r="H23" s="24"/>
      <c r="I23" s="129"/>
      <c r="J23" s="214"/>
      <c r="K23" s="214"/>
      <c r="L23" s="214"/>
      <c r="M23" s="169"/>
      <c r="N23" s="186"/>
      <c r="O23" s="186"/>
      <c r="P23" s="186"/>
      <c r="Q23" s="105"/>
      <c r="R23" s="186"/>
      <c r="S23" s="24"/>
      <c r="T23" s="70"/>
      <c r="U23" s="153"/>
      <c r="V23" s="43"/>
      <c r="W23" s="24"/>
      <c r="X23" s="240"/>
      <c r="Y23" s="24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1">
        <v>-250</v>
      </c>
    </row>
    <row r="24" spans="1:103" x14ac:dyDescent="0.25">
      <c r="A24" s="195" t="s">
        <v>22</v>
      </c>
      <c r="B24" s="18" t="s">
        <v>155</v>
      </c>
      <c r="C24" s="11"/>
      <c r="D24" s="10" t="s">
        <v>170</v>
      </c>
      <c r="E24" s="248"/>
      <c r="F24" s="261"/>
      <c r="G24" s="261"/>
      <c r="H24" s="24"/>
      <c r="I24" s="129"/>
      <c r="J24" s="214"/>
      <c r="K24" s="214"/>
      <c r="L24" s="214"/>
      <c r="M24" s="169"/>
      <c r="N24" s="186"/>
      <c r="O24" s="186"/>
      <c r="P24" s="186"/>
      <c r="Q24" s="105"/>
      <c r="R24" s="186"/>
      <c r="S24" s="24"/>
      <c r="T24" s="70"/>
      <c r="U24" s="153"/>
      <c r="V24" s="43"/>
      <c r="W24" s="24"/>
      <c r="X24" s="240"/>
      <c r="Y24" s="24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1">
        <v>-260</v>
      </c>
      <c r="BU24" s="1">
        <v>260</v>
      </c>
    </row>
    <row r="25" spans="1:103" x14ac:dyDescent="0.25">
      <c r="A25" s="195" t="s">
        <v>22</v>
      </c>
      <c r="B25" s="18" t="s">
        <v>20</v>
      </c>
      <c r="C25" s="11">
        <v>29740</v>
      </c>
      <c r="D25" s="220" t="s">
        <v>148</v>
      </c>
      <c r="H25" s="24"/>
      <c r="I25" s="129"/>
      <c r="J25" s="214"/>
      <c r="K25" s="214"/>
      <c r="L25" s="214"/>
      <c r="M25" s="169"/>
      <c r="N25" s="186"/>
      <c r="O25" s="186"/>
      <c r="P25" s="186"/>
      <c r="Q25" s="105"/>
      <c r="R25" s="186"/>
      <c r="S25" s="24"/>
      <c r="T25" s="70"/>
      <c r="U25" s="153"/>
      <c r="V25" s="43"/>
      <c r="W25" s="24"/>
      <c r="X25" s="240"/>
      <c r="Y25" s="24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1">
        <v>-29740</v>
      </c>
    </row>
    <row r="26" spans="1:103" x14ac:dyDescent="0.25">
      <c r="A26" s="195" t="s">
        <v>22</v>
      </c>
      <c r="B26" s="18" t="s">
        <v>155</v>
      </c>
      <c r="C26" s="11"/>
      <c r="D26" s="10" t="s">
        <v>172</v>
      </c>
      <c r="E26" s="248"/>
      <c r="F26" s="261"/>
      <c r="G26" s="261"/>
      <c r="H26" s="24"/>
      <c r="I26" s="129"/>
      <c r="J26" s="214"/>
      <c r="K26" s="214"/>
      <c r="L26" s="214"/>
      <c r="M26" s="169"/>
      <c r="N26" s="186"/>
      <c r="O26" s="186"/>
      <c r="P26" s="186"/>
      <c r="Q26" s="105"/>
      <c r="R26" s="186"/>
      <c r="S26" s="24"/>
      <c r="T26" s="70"/>
      <c r="U26" s="153"/>
      <c r="V26" s="43"/>
      <c r="W26" s="24"/>
      <c r="X26" s="240"/>
      <c r="Y26" s="24"/>
      <c r="Z26" s="7">
        <v>-13500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CG26" s="1">
        <v>13100</v>
      </c>
      <c r="CH26" s="1">
        <v>200</v>
      </c>
      <c r="CI26" s="1">
        <v>200</v>
      </c>
    </row>
    <row r="27" spans="1:103" x14ac:dyDescent="0.25">
      <c r="A27" s="195" t="s">
        <v>22</v>
      </c>
      <c r="B27" s="18" t="s">
        <v>13</v>
      </c>
      <c r="C27" s="11">
        <v>-17322</v>
      </c>
      <c r="D27" s="220" t="s">
        <v>112</v>
      </c>
      <c r="H27" s="24"/>
      <c r="I27" s="129"/>
      <c r="J27" s="214"/>
      <c r="K27" s="214"/>
      <c r="L27" s="214"/>
      <c r="M27" s="169"/>
      <c r="N27" s="186"/>
      <c r="O27" s="186"/>
      <c r="P27" s="186"/>
      <c r="Q27" s="105"/>
      <c r="R27" s="186"/>
      <c r="S27" s="24"/>
      <c r="T27" s="70"/>
      <c r="U27" s="153"/>
      <c r="V27" s="43"/>
      <c r="W27" s="24"/>
      <c r="X27" s="240"/>
      <c r="Y27" s="24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1">
        <v>17322</v>
      </c>
    </row>
    <row r="28" spans="1:103" x14ac:dyDescent="0.25">
      <c r="A28" s="195" t="s">
        <v>23</v>
      </c>
      <c r="B28" s="18" t="s">
        <v>24</v>
      </c>
      <c r="C28" s="11">
        <v>-10185</v>
      </c>
      <c r="D28" s="220" t="s">
        <v>113</v>
      </c>
      <c r="H28" s="24"/>
      <c r="I28" s="129"/>
      <c r="J28" s="214"/>
      <c r="K28" s="214"/>
      <c r="L28" s="214"/>
      <c r="M28" s="169"/>
      <c r="N28" s="186"/>
      <c r="O28" s="186"/>
      <c r="P28" s="186"/>
      <c r="Q28" s="105"/>
      <c r="R28" s="186"/>
      <c r="S28" s="24"/>
      <c r="T28" s="70"/>
      <c r="U28" s="153"/>
      <c r="V28" s="43"/>
      <c r="W28" s="24"/>
      <c r="X28" s="240"/>
      <c r="Y28" s="24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>
        <v>10185</v>
      </c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103" x14ac:dyDescent="0.25">
      <c r="A29" s="11" t="s">
        <v>25</v>
      </c>
      <c r="B29" s="41" t="s">
        <v>16</v>
      </c>
      <c r="C29" s="11">
        <v>-13566</v>
      </c>
      <c r="D29" s="220" t="s">
        <v>114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7">
        <v>13566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103" x14ac:dyDescent="0.25">
      <c r="A30" s="11" t="s">
        <v>26</v>
      </c>
      <c r="B30" s="41" t="s">
        <v>96</v>
      </c>
      <c r="C30" s="11">
        <v>200000</v>
      </c>
      <c r="D30" s="220" t="s">
        <v>149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M30" s="1">
        <v>-200000</v>
      </c>
    </row>
    <row r="31" spans="1:103" x14ac:dyDescent="0.25">
      <c r="A31" s="195" t="s">
        <v>26</v>
      </c>
      <c r="B31" s="41" t="s">
        <v>227</v>
      </c>
      <c r="C31" s="11">
        <v>-200000</v>
      </c>
      <c r="D31" s="220" t="s">
        <v>115</v>
      </c>
      <c r="H31" s="24"/>
      <c r="I31" s="129"/>
      <c r="J31" s="214"/>
      <c r="K31" s="214"/>
      <c r="L31" s="214"/>
      <c r="M31" s="169"/>
      <c r="N31" s="186"/>
      <c r="O31" s="186"/>
      <c r="P31" s="186"/>
      <c r="Q31" s="105"/>
      <c r="R31" s="186"/>
      <c r="S31" s="24"/>
      <c r="T31" s="70"/>
      <c r="U31" s="153"/>
      <c r="V31" s="43"/>
      <c r="W31" s="24"/>
      <c r="X31" s="240"/>
      <c r="Y31" s="24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Q31" s="1">
        <v>200000</v>
      </c>
    </row>
    <row r="32" spans="1:103" x14ac:dyDescent="0.25">
      <c r="A32" s="195" t="s">
        <v>29</v>
      </c>
      <c r="B32" s="18" t="s">
        <v>13</v>
      </c>
      <c r="C32" s="11">
        <v>-1000</v>
      </c>
      <c r="D32" s="220" t="s">
        <v>116</v>
      </c>
      <c r="H32" s="24"/>
      <c r="I32" s="129"/>
      <c r="J32" s="214"/>
      <c r="K32" s="214"/>
      <c r="L32" s="214"/>
      <c r="M32" s="169"/>
      <c r="N32" s="186"/>
      <c r="O32" s="186"/>
      <c r="P32" s="186"/>
      <c r="Q32" s="105"/>
      <c r="R32" s="186"/>
      <c r="S32" s="24"/>
      <c r="T32" s="70"/>
      <c r="U32" s="153"/>
      <c r="V32" s="43"/>
      <c r="W32" s="24"/>
      <c r="X32" s="240"/>
      <c r="Y32" s="24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1">
        <v>1000</v>
      </c>
    </row>
    <row r="33" spans="1:199" x14ac:dyDescent="0.25">
      <c r="A33" s="195" t="s">
        <v>30</v>
      </c>
      <c r="B33" s="18" t="s">
        <v>16</v>
      </c>
      <c r="C33" s="11">
        <v>-13566</v>
      </c>
      <c r="D33" s="220" t="s">
        <v>117</v>
      </c>
      <c r="H33" s="24"/>
      <c r="I33" s="129"/>
      <c r="J33" s="214"/>
      <c r="K33" s="214"/>
      <c r="L33" s="214"/>
      <c r="M33" s="169"/>
      <c r="N33" s="186"/>
      <c r="O33" s="186"/>
      <c r="P33" s="186"/>
      <c r="Q33" s="105"/>
      <c r="R33" s="186"/>
      <c r="S33" s="24"/>
      <c r="T33" s="70"/>
      <c r="U33" s="153"/>
      <c r="V33" s="43"/>
      <c r="W33" s="24"/>
      <c r="X33" s="240"/>
      <c r="Y33" s="24"/>
      <c r="Z33" s="16">
        <v>13566</v>
      </c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</row>
    <row r="34" spans="1:199" x14ac:dyDescent="0.25">
      <c r="A34" s="195" t="s">
        <v>31</v>
      </c>
      <c r="B34" s="41" t="s">
        <v>291</v>
      </c>
      <c r="C34" s="11">
        <v>500000</v>
      </c>
      <c r="D34" s="220" t="s">
        <v>150</v>
      </c>
      <c r="H34" s="24">
        <v>-500000</v>
      </c>
      <c r="I34" s="129"/>
      <c r="J34" s="214"/>
      <c r="K34" s="214"/>
      <c r="L34" s="214"/>
      <c r="M34" s="169"/>
      <c r="N34" s="186"/>
      <c r="O34" s="186"/>
      <c r="P34" s="186"/>
      <c r="Q34" s="105"/>
      <c r="R34" s="186"/>
      <c r="S34" s="24"/>
      <c r="T34" s="70"/>
      <c r="U34" s="153"/>
      <c r="V34" s="43"/>
      <c r="W34" s="24"/>
      <c r="X34" s="240"/>
      <c r="Y34" s="24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</row>
    <row r="35" spans="1:199" x14ac:dyDescent="0.25">
      <c r="A35" s="195" t="s">
        <v>31</v>
      </c>
      <c r="B35" s="18" t="s">
        <v>32</v>
      </c>
      <c r="C35" s="11">
        <v>-200000</v>
      </c>
      <c r="D35" s="220" t="s">
        <v>118</v>
      </c>
      <c r="H35" s="24"/>
      <c r="I35" s="129"/>
      <c r="J35" s="214"/>
      <c r="K35" s="214"/>
      <c r="L35" s="214"/>
      <c r="M35" s="169"/>
      <c r="N35" s="186"/>
      <c r="O35" s="186"/>
      <c r="P35" s="186"/>
      <c r="Q35" s="105"/>
      <c r="R35" s="186"/>
      <c r="S35" s="24"/>
      <c r="T35" s="70"/>
      <c r="U35" s="153"/>
      <c r="V35" s="43"/>
      <c r="W35" s="24"/>
      <c r="X35" s="240"/>
      <c r="Y35" s="24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P35" s="1">
        <v>200000</v>
      </c>
    </row>
    <row r="36" spans="1:199" x14ac:dyDescent="0.25">
      <c r="A36" s="195" t="s">
        <v>31</v>
      </c>
      <c r="B36" s="18" t="s">
        <v>16</v>
      </c>
      <c r="C36" s="11">
        <v>-15300</v>
      </c>
      <c r="D36" s="220" t="s">
        <v>119</v>
      </c>
      <c r="H36" s="24"/>
      <c r="I36" s="129"/>
      <c r="J36" s="214"/>
      <c r="K36" s="214"/>
      <c r="L36" s="214"/>
      <c r="M36" s="169"/>
      <c r="N36" s="186"/>
      <c r="O36" s="186"/>
      <c r="P36" s="186"/>
      <c r="Q36" s="105"/>
      <c r="R36" s="186"/>
      <c r="S36" s="24"/>
      <c r="T36" s="70"/>
      <c r="U36" s="153"/>
      <c r="V36" s="43"/>
      <c r="W36" s="24"/>
      <c r="X36" s="240"/>
      <c r="Y36" s="24"/>
      <c r="Z36" s="14">
        <v>15300</v>
      </c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199" x14ac:dyDescent="0.25">
      <c r="A37" s="195" t="s">
        <v>31</v>
      </c>
      <c r="B37" s="18" t="s">
        <v>155</v>
      </c>
      <c r="C37" s="11"/>
      <c r="D37" s="10" t="s">
        <v>174</v>
      </c>
      <c r="E37" s="248"/>
      <c r="F37" s="261"/>
      <c r="G37" s="261"/>
      <c r="H37" s="24"/>
      <c r="I37" s="129"/>
      <c r="J37" s="214"/>
      <c r="K37" s="214"/>
      <c r="L37" s="214"/>
      <c r="M37" s="169"/>
      <c r="N37" s="186"/>
      <c r="O37" s="186"/>
      <c r="P37" s="186"/>
      <c r="Q37" s="105"/>
      <c r="R37" s="186"/>
      <c r="S37" s="24"/>
      <c r="T37" s="70"/>
      <c r="U37" s="153"/>
      <c r="V37" s="43"/>
      <c r="W37" s="24"/>
      <c r="X37" s="240"/>
      <c r="Y37" s="2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">
        <v>-17322</v>
      </c>
      <c r="BW37" s="1">
        <v>17000</v>
      </c>
      <c r="BY37" s="1">
        <v>322</v>
      </c>
    </row>
    <row r="38" spans="1:199" x14ac:dyDescent="0.25">
      <c r="A38" s="195" t="s">
        <v>33</v>
      </c>
      <c r="B38" s="18" t="s">
        <v>16</v>
      </c>
      <c r="C38" s="11">
        <v>-13566</v>
      </c>
      <c r="D38" s="220" t="s">
        <v>120</v>
      </c>
      <c r="H38" s="24"/>
      <c r="I38" s="129"/>
      <c r="J38" s="214"/>
      <c r="K38" s="214"/>
      <c r="L38" s="214"/>
      <c r="M38" s="169"/>
      <c r="N38" s="186"/>
      <c r="O38" s="186"/>
      <c r="P38" s="186"/>
      <c r="Q38" s="105"/>
      <c r="R38" s="186"/>
      <c r="S38" s="24"/>
      <c r="T38" s="70"/>
      <c r="U38" s="153"/>
      <c r="V38" s="43"/>
      <c r="W38" s="24"/>
      <c r="X38" s="240"/>
      <c r="Y38" s="24"/>
      <c r="Z38" s="14">
        <v>13566</v>
      </c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199" x14ac:dyDescent="0.25">
      <c r="A39" s="195" t="s">
        <v>33</v>
      </c>
      <c r="B39" s="18" t="s">
        <v>20</v>
      </c>
      <c r="C39" s="11">
        <v>650</v>
      </c>
      <c r="D39" s="220" t="s">
        <v>151</v>
      </c>
      <c r="H39" s="24"/>
      <c r="I39" s="129"/>
      <c r="J39" s="214"/>
      <c r="K39" s="214"/>
      <c r="L39" s="214"/>
      <c r="M39" s="169"/>
      <c r="N39" s="186"/>
      <c r="O39" s="186"/>
      <c r="P39" s="186"/>
      <c r="Q39" s="105"/>
      <c r="R39" s="186"/>
      <c r="S39" s="24"/>
      <c r="T39" s="70"/>
      <c r="U39" s="153"/>
      <c r="V39" s="43"/>
      <c r="W39" s="24"/>
      <c r="X39" s="240"/>
      <c r="Y39" s="2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">
        <v>-650</v>
      </c>
    </row>
    <row r="40" spans="1:199" x14ac:dyDescent="0.25">
      <c r="A40" s="195" t="s">
        <v>33</v>
      </c>
      <c r="B40" s="18" t="s">
        <v>155</v>
      </c>
      <c r="C40" s="11"/>
      <c r="D40" s="10" t="s">
        <v>176</v>
      </c>
      <c r="E40" s="248"/>
      <c r="F40" s="261"/>
      <c r="G40" s="261"/>
      <c r="H40" s="24"/>
      <c r="I40" s="129"/>
      <c r="J40" s="214"/>
      <c r="K40" s="214"/>
      <c r="L40" s="214"/>
      <c r="M40" s="169"/>
      <c r="N40" s="186"/>
      <c r="O40" s="186"/>
      <c r="P40" s="186"/>
      <c r="Q40" s="105"/>
      <c r="R40" s="186"/>
      <c r="S40" s="24"/>
      <c r="T40" s="70"/>
      <c r="U40" s="153"/>
      <c r="V40" s="43"/>
      <c r="W40" s="24"/>
      <c r="X40" s="240"/>
      <c r="Y40" s="2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">
        <v>-350</v>
      </c>
      <c r="CO40" s="1">
        <v>20</v>
      </c>
      <c r="CW40" s="1">
        <v>300</v>
      </c>
    </row>
    <row r="41" spans="1:199" x14ac:dyDescent="0.25">
      <c r="A41" s="195" t="s">
        <v>42</v>
      </c>
      <c r="B41" s="18" t="s">
        <v>16</v>
      </c>
      <c r="C41" s="11">
        <v>-13566</v>
      </c>
      <c r="D41" s="220" t="s">
        <v>121</v>
      </c>
      <c r="H41" s="24"/>
      <c r="I41" s="129"/>
      <c r="J41" s="214"/>
      <c r="K41" s="214"/>
      <c r="L41" s="214"/>
      <c r="M41" s="169"/>
      <c r="N41" s="186"/>
      <c r="O41" s="186"/>
      <c r="P41" s="186"/>
      <c r="Q41" s="105"/>
      <c r="R41" s="186"/>
      <c r="S41" s="24"/>
      <c r="T41" s="70"/>
      <c r="U41" s="153"/>
      <c r="V41" s="43"/>
      <c r="W41" s="24"/>
      <c r="X41" s="240"/>
      <c r="Y41" s="24"/>
      <c r="Z41" s="14">
        <v>13566</v>
      </c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CY41" s="1">
        <v>30</v>
      </c>
    </row>
    <row r="42" spans="1:199" s="4" customFormat="1" x14ac:dyDescent="0.25">
      <c r="A42" s="10"/>
      <c r="B42" s="32"/>
      <c r="C42" s="10">
        <f>SUM(C3:C41)</f>
        <v>289096</v>
      </c>
      <c r="D42" s="242">
        <f>SUM(D3:D41)</f>
        <v>1</v>
      </c>
      <c r="E42" s="248"/>
      <c r="F42" s="261"/>
      <c r="G42" s="261"/>
      <c r="H42" s="242">
        <f t="shared" ref="H42:BS42" si="0">SUM(H3:H41)</f>
        <v>-850000</v>
      </c>
      <c r="I42" s="242">
        <f t="shared" si="0"/>
        <v>0</v>
      </c>
      <c r="J42" s="242">
        <f t="shared" si="0"/>
        <v>0</v>
      </c>
      <c r="K42" s="242">
        <f t="shared" si="0"/>
        <v>0</v>
      </c>
      <c r="L42" s="242">
        <f t="shared" si="0"/>
        <v>0</v>
      </c>
      <c r="M42" s="242">
        <f t="shared" si="0"/>
        <v>0</v>
      </c>
      <c r="N42" s="242">
        <f t="shared" si="0"/>
        <v>0</v>
      </c>
      <c r="O42" s="242">
        <f t="shared" si="0"/>
        <v>0</v>
      </c>
      <c r="P42" s="242">
        <f t="shared" si="0"/>
        <v>0</v>
      </c>
      <c r="Q42" s="242">
        <f t="shared" si="0"/>
        <v>0</v>
      </c>
      <c r="R42" s="242">
        <f t="shared" si="0"/>
        <v>0</v>
      </c>
      <c r="S42" s="242">
        <f t="shared" si="0"/>
        <v>0</v>
      </c>
      <c r="T42" s="242">
        <f t="shared" si="0"/>
        <v>0</v>
      </c>
      <c r="U42" s="242">
        <f t="shared" si="0"/>
        <v>0</v>
      </c>
      <c r="V42" s="242">
        <f t="shared" si="0"/>
        <v>0</v>
      </c>
      <c r="W42" s="242">
        <f t="shared" si="0"/>
        <v>0</v>
      </c>
      <c r="X42" s="242"/>
      <c r="Y42" s="242">
        <f t="shared" si="0"/>
        <v>0</v>
      </c>
      <c r="Z42" s="242">
        <f t="shared" si="0"/>
        <v>59565</v>
      </c>
      <c r="AA42" s="242">
        <f t="shared" si="0"/>
        <v>0</v>
      </c>
      <c r="AB42" s="242">
        <f t="shared" si="0"/>
        <v>0</v>
      </c>
      <c r="AC42" s="242">
        <f t="shared" si="0"/>
        <v>0</v>
      </c>
      <c r="AD42" s="242">
        <f t="shared" si="0"/>
        <v>0</v>
      </c>
      <c r="AE42" s="242">
        <f t="shared" si="0"/>
        <v>0</v>
      </c>
      <c r="AF42" s="242">
        <f t="shared" si="0"/>
        <v>0</v>
      </c>
      <c r="AG42" s="242">
        <f t="shared" si="0"/>
        <v>0</v>
      </c>
      <c r="AH42" s="242">
        <f t="shared" si="0"/>
        <v>0</v>
      </c>
      <c r="AI42" s="242">
        <f t="shared" si="0"/>
        <v>0</v>
      </c>
      <c r="AJ42" s="242">
        <f t="shared" si="0"/>
        <v>0</v>
      </c>
      <c r="AK42" s="242">
        <f t="shared" si="0"/>
        <v>0</v>
      </c>
      <c r="AL42" s="242">
        <f t="shared" si="0"/>
        <v>10185</v>
      </c>
      <c r="AM42" s="242">
        <f t="shared" si="0"/>
        <v>0</v>
      </c>
      <c r="AN42" s="242">
        <f t="shared" si="0"/>
        <v>0</v>
      </c>
      <c r="AO42" s="242">
        <f t="shared" si="0"/>
        <v>0</v>
      </c>
      <c r="AP42" s="242">
        <f t="shared" si="0"/>
        <v>0</v>
      </c>
      <c r="AQ42" s="242">
        <f t="shared" si="0"/>
        <v>0</v>
      </c>
      <c r="AR42" s="242">
        <f t="shared" si="0"/>
        <v>0</v>
      </c>
      <c r="AS42" s="242">
        <f t="shared" si="0"/>
        <v>0</v>
      </c>
      <c r="AT42" s="242">
        <f t="shared" si="0"/>
        <v>0</v>
      </c>
      <c r="AU42" s="242">
        <f t="shared" si="0"/>
        <v>0</v>
      </c>
      <c r="AV42" s="242">
        <f t="shared" si="0"/>
        <v>0</v>
      </c>
      <c r="AW42" s="242">
        <f t="shared" si="0"/>
        <v>0</v>
      </c>
      <c r="AX42" s="242">
        <f t="shared" si="0"/>
        <v>0</v>
      </c>
      <c r="AY42" s="242">
        <f t="shared" si="0"/>
        <v>0</v>
      </c>
      <c r="AZ42" s="242">
        <f t="shared" si="0"/>
        <v>0</v>
      </c>
      <c r="BA42" s="242">
        <f t="shared" si="0"/>
        <v>0</v>
      </c>
      <c r="BB42" s="242">
        <f t="shared" si="0"/>
        <v>0</v>
      </c>
      <c r="BC42" s="242">
        <f t="shared" si="0"/>
        <v>0</v>
      </c>
      <c r="BD42" s="242">
        <f t="shared" si="0"/>
        <v>0</v>
      </c>
      <c r="BE42" s="242">
        <f t="shared" si="0"/>
        <v>0</v>
      </c>
      <c r="BF42" s="242">
        <f t="shared" si="0"/>
        <v>0</v>
      </c>
      <c r="BG42" s="242">
        <f t="shared" si="0"/>
        <v>0</v>
      </c>
      <c r="BH42" s="242">
        <f t="shared" si="0"/>
        <v>0</v>
      </c>
      <c r="BI42" s="242">
        <f t="shared" si="0"/>
        <v>-38566</v>
      </c>
      <c r="BJ42" s="242">
        <f t="shared" si="0"/>
        <v>0</v>
      </c>
      <c r="BK42" s="242">
        <f t="shared" si="0"/>
        <v>0</v>
      </c>
      <c r="BL42" s="242">
        <f t="shared" si="0"/>
        <v>0</v>
      </c>
      <c r="BM42" s="242">
        <f t="shared" si="0"/>
        <v>-200000</v>
      </c>
      <c r="BN42" s="242">
        <f t="shared" si="0"/>
        <v>53316</v>
      </c>
      <c r="BO42" s="242">
        <f t="shared" si="0"/>
        <v>0</v>
      </c>
      <c r="BP42" s="242">
        <f t="shared" si="0"/>
        <v>200000</v>
      </c>
      <c r="BQ42" s="242">
        <f t="shared" si="0"/>
        <v>400000</v>
      </c>
      <c r="BR42" s="242">
        <f t="shared" si="0"/>
        <v>0</v>
      </c>
      <c r="BS42" s="242">
        <f t="shared" si="0"/>
        <v>0</v>
      </c>
      <c r="BT42" s="242">
        <f t="shared" ref="BT42:EJ42" si="1">SUM(BT3:BT41)</f>
        <v>0</v>
      </c>
      <c r="BU42" s="242">
        <f t="shared" si="1"/>
        <v>260</v>
      </c>
      <c r="BV42" s="242">
        <f t="shared" si="1"/>
        <v>0</v>
      </c>
      <c r="BW42" s="242">
        <f t="shared" si="1"/>
        <v>17000</v>
      </c>
      <c r="BX42" s="242">
        <f t="shared" si="1"/>
        <v>0</v>
      </c>
      <c r="BY42" s="242">
        <f t="shared" si="1"/>
        <v>322</v>
      </c>
      <c r="BZ42" s="242">
        <f t="shared" si="1"/>
        <v>0</v>
      </c>
      <c r="CA42" s="242">
        <f t="shared" si="1"/>
        <v>0</v>
      </c>
      <c r="CB42" s="242">
        <f t="shared" si="1"/>
        <v>0</v>
      </c>
      <c r="CC42" s="242">
        <f t="shared" si="1"/>
        <v>0</v>
      </c>
      <c r="CD42" s="242">
        <f t="shared" si="1"/>
        <v>0</v>
      </c>
      <c r="CE42" s="242">
        <f t="shared" si="1"/>
        <v>600</v>
      </c>
      <c r="CF42" s="242">
        <f t="shared" si="1"/>
        <v>0</v>
      </c>
      <c r="CG42" s="242">
        <f t="shared" si="1"/>
        <v>26200</v>
      </c>
      <c r="CH42" s="242">
        <f t="shared" si="1"/>
        <v>788</v>
      </c>
      <c r="CI42" s="242">
        <f t="shared" si="1"/>
        <v>2215</v>
      </c>
      <c r="CJ42" s="242">
        <f t="shared" si="1"/>
        <v>3500</v>
      </c>
      <c r="CK42" s="242">
        <f t="shared" si="1"/>
        <v>10000</v>
      </c>
      <c r="CL42" s="242">
        <f t="shared" si="1"/>
        <v>0</v>
      </c>
      <c r="CM42" s="242">
        <f t="shared" si="1"/>
        <v>7865</v>
      </c>
      <c r="CN42" s="242">
        <f t="shared" si="1"/>
        <v>1610</v>
      </c>
      <c r="CO42" s="242">
        <f t="shared" si="1"/>
        <v>20</v>
      </c>
      <c r="CP42" s="337"/>
      <c r="CQ42" s="346"/>
      <c r="CR42" s="242">
        <f t="shared" si="1"/>
        <v>0</v>
      </c>
      <c r="CS42" s="242">
        <f t="shared" si="1"/>
        <v>0</v>
      </c>
      <c r="CT42" s="242">
        <f t="shared" si="1"/>
        <v>0</v>
      </c>
      <c r="CU42" s="358"/>
      <c r="CV42" s="242">
        <f t="shared" si="1"/>
        <v>0</v>
      </c>
      <c r="CW42" s="242">
        <f t="shared" si="1"/>
        <v>300</v>
      </c>
      <c r="CX42" s="242">
        <f t="shared" si="1"/>
        <v>0</v>
      </c>
      <c r="CY42" s="242">
        <f t="shared" si="1"/>
        <v>490</v>
      </c>
      <c r="CZ42" s="242">
        <f t="shared" si="1"/>
        <v>0</v>
      </c>
      <c r="DA42" s="242">
        <f t="shared" si="1"/>
        <v>0</v>
      </c>
      <c r="DB42" s="242">
        <f t="shared" si="1"/>
        <v>0</v>
      </c>
      <c r="DC42" s="242">
        <f t="shared" si="1"/>
        <v>0</v>
      </c>
      <c r="DD42" s="242">
        <f t="shared" si="1"/>
        <v>0</v>
      </c>
      <c r="DE42" s="242">
        <f t="shared" si="1"/>
        <v>0</v>
      </c>
      <c r="DF42" s="242">
        <f t="shared" si="1"/>
        <v>0</v>
      </c>
      <c r="DG42" s="242">
        <f t="shared" si="1"/>
        <v>0</v>
      </c>
      <c r="DH42" s="353"/>
      <c r="DI42" s="242">
        <f t="shared" si="1"/>
        <v>0</v>
      </c>
      <c r="DJ42" s="242">
        <f t="shared" si="1"/>
        <v>0</v>
      </c>
      <c r="DK42" s="242">
        <f t="shared" si="1"/>
        <v>0</v>
      </c>
      <c r="DL42" s="242">
        <f t="shared" si="1"/>
        <v>0</v>
      </c>
      <c r="DM42" s="242">
        <f t="shared" si="1"/>
        <v>0</v>
      </c>
      <c r="DN42" s="242">
        <f t="shared" si="1"/>
        <v>0</v>
      </c>
      <c r="DO42" s="242">
        <f t="shared" si="1"/>
        <v>0</v>
      </c>
      <c r="DP42" s="242">
        <f t="shared" si="1"/>
        <v>0</v>
      </c>
      <c r="DQ42" s="242">
        <f t="shared" si="1"/>
        <v>0</v>
      </c>
      <c r="DR42" s="242">
        <f t="shared" si="1"/>
        <v>0</v>
      </c>
      <c r="DS42" s="242">
        <f t="shared" si="1"/>
        <v>0</v>
      </c>
      <c r="DT42" s="242">
        <f t="shared" si="1"/>
        <v>0</v>
      </c>
      <c r="DU42" s="242">
        <f t="shared" si="1"/>
        <v>0</v>
      </c>
      <c r="DV42" s="242">
        <f t="shared" si="1"/>
        <v>0</v>
      </c>
      <c r="DW42" s="242">
        <f t="shared" si="1"/>
        <v>0</v>
      </c>
      <c r="DX42" s="242">
        <f t="shared" si="1"/>
        <v>0</v>
      </c>
      <c r="DY42" s="242">
        <f t="shared" si="1"/>
        <v>0</v>
      </c>
      <c r="DZ42" s="242">
        <f t="shared" si="1"/>
        <v>0</v>
      </c>
      <c r="EA42" s="242"/>
      <c r="EB42" s="242">
        <f t="shared" si="1"/>
        <v>0</v>
      </c>
      <c r="EC42" s="242">
        <f t="shared" si="1"/>
        <v>0</v>
      </c>
      <c r="ED42" s="242">
        <f t="shared" si="1"/>
        <v>0</v>
      </c>
      <c r="EE42" s="242">
        <f t="shared" si="1"/>
        <v>0</v>
      </c>
      <c r="EF42" s="242">
        <f t="shared" si="1"/>
        <v>0</v>
      </c>
      <c r="EG42" s="242">
        <f t="shared" si="1"/>
        <v>0</v>
      </c>
      <c r="EH42" s="242">
        <f t="shared" si="1"/>
        <v>0</v>
      </c>
      <c r="EI42" s="242">
        <f t="shared" si="1"/>
        <v>0</v>
      </c>
      <c r="EJ42" s="242">
        <f t="shared" si="1"/>
        <v>0</v>
      </c>
      <c r="EK42" s="242">
        <f t="shared" ref="EK42:GD42" si="2">SUM(EK3:EK41)</f>
        <v>0</v>
      </c>
      <c r="EL42" s="242">
        <f t="shared" si="2"/>
        <v>0</v>
      </c>
      <c r="EM42" s="242">
        <f t="shared" si="2"/>
        <v>0</v>
      </c>
      <c r="EN42" s="242">
        <f t="shared" si="2"/>
        <v>0</v>
      </c>
      <c r="EO42" s="242">
        <f t="shared" si="2"/>
        <v>0</v>
      </c>
      <c r="EP42" s="242">
        <f t="shared" si="2"/>
        <v>0</v>
      </c>
      <c r="EQ42" s="242">
        <f t="shared" si="2"/>
        <v>0</v>
      </c>
      <c r="ER42" s="242">
        <f t="shared" si="2"/>
        <v>0</v>
      </c>
      <c r="ES42" s="242">
        <f t="shared" si="2"/>
        <v>0</v>
      </c>
      <c r="ET42" s="242">
        <f t="shared" si="2"/>
        <v>0</v>
      </c>
      <c r="EU42" s="242">
        <f t="shared" si="2"/>
        <v>0</v>
      </c>
      <c r="EV42" s="242">
        <f t="shared" si="2"/>
        <v>0</v>
      </c>
      <c r="EW42" s="242">
        <f t="shared" si="2"/>
        <v>0</v>
      </c>
      <c r="EX42" s="242">
        <f t="shared" si="2"/>
        <v>0</v>
      </c>
      <c r="EY42" s="242">
        <f t="shared" si="2"/>
        <v>0</v>
      </c>
      <c r="EZ42" s="242">
        <f t="shared" si="2"/>
        <v>0</v>
      </c>
      <c r="FA42" s="242">
        <f t="shared" si="2"/>
        <v>0</v>
      </c>
      <c r="FB42" s="242">
        <f t="shared" si="2"/>
        <v>0</v>
      </c>
      <c r="FC42" s="242">
        <f t="shared" si="2"/>
        <v>0</v>
      </c>
      <c r="FD42" s="242">
        <f t="shared" si="2"/>
        <v>0</v>
      </c>
      <c r="FE42" s="242">
        <f t="shared" si="2"/>
        <v>0</v>
      </c>
      <c r="FF42" s="242">
        <f t="shared" si="2"/>
        <v>0</v>
      </c>
      <c r="FG42" s="242">
        <f t="shared" si="2"/>
        <v>0</v>
      </c>
      <c r="FH42" s="242">
        <f t="shared" si="2"/>
        <v>0</v>
      </c>
      <c r="FI42" s="242">
        <f t="shared" si="2"/>
        <v>0</v>
      </c>
      <c r="FJ42" s="242">
        <f t="shared" si="2"/>
        <v>0</v>
      </c>
      <c r="FK42" s="242">
        <f t="shared" si="2"/>
        <v>0</v>
      </c>
      <c r="FL42" s="242">
        <f t="shared" si="2"/>
        <v>0</v>
      </c>
      <c r="FM42" s="242">
        <f t="shared" si="2"/>
        <v>0</v>
      </c>
      <c r="FN42" s="242">
        <f t="shared" si="2"/>
        <v>0</v>
      </c>
      <c r="FO42" s="242">
        <f t="shared" si="2"/>
        <v>0</v>
      </c>
      <c r="FP42" s="242">
        <f t="shared" si="2"/>
        <v>0</v>
      </c>
      <c r="FQ42" s="242">
        <f t="shared" si="2"/>
        <v>0</v>
      </c>
      <c r="FR42" s="242">
        <f t="shared" si="2"/>
        <v>0</v>
      </c>
      <c r="FS42" s="242">
        <f t="shared" si="2"/>
        <v>0</v>
      </c>
      <c r="FT42" s="242">
        <f t="shared" si="2"/>
        <v>0</v>
      </c>
      <c r="FU42" s="242">
        <f t="shared" si="2"/>
        <v>0</v>
      </c>
      <c r="FV42" s="242">
        <f t="shared" si="2"/>
        <v>0</v>
      </c>
      <c r="FW42" s="242">
        <f t="shared" si="2"/>
        <v>0</v>
      </c>
      <c r="FX42" s="242">
        <f t="shared" si="2"/>
        <v>0</v>
      </c>
      <c r="FY42" s="242">
        <f t="shared" si="2"/>
        <v>0</v>
      </c>
      <c r="FZ42" s="242">
        <f t="shared" si="2"/>
        <v>0</v>
      </c>
      <c r="GA42" s="242">
        <f t="shared" si="2"/>
        <v>0</v>
      </c>
      <c r="GB42" s="242">
        <f t="shared" si="2"/>
        <v>0</v>
      </c>
      <c r="GC42" s="242">
        <f t="shared" si="2"/>
        <v>0</v>
      </c>
      <c r="GD42" s="242">
        <f t="shared" si="2"/>
        <v>0</v>
      </c>
      <c r="GE42" s="278"/>
    </row>
    <row r="43" spans="1:199" s="7" customFormat="1" x14ac:dyDescent="0.25">
      <c r="A43" s="11"/>
      <c r="B43" s="4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66"/>
      <c r="DT43" s="66"/>
      <c r="DU43" s="66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</row>
    <row r="44" spans="1:199" s="7" customFormat="1" x14ac:dyDescent="0.25">
      <c r="A44" s="11"/>
      <c r="B44" s="4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66"/>
      <c r="DT44" s="66"/>
      <c r="DU44" s="66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</row>
    <row r="45" spans="1:199" x14ac:dyDescent="0.25"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378" t="s">
        <v>205</v>
      </c>
      <c r="T45" s="378"/>
      <c r="U45" s="378"/>
      <c r="V45" s="378"/>
      <c r="W45" s="378"/>
      <c r="X45" s="378"/>
      <c r="Y45" s="378"/>
      <c r="Z45" s="378" t="s">
        <v>90</v>
      </c>
      <c r="AA45" s="378"/>
      <c r="AB45" s="378"/>
      <c r="AC45" s="378"/>
      <c r="AD45" s="378"/>
      <c r="AE45" s="378"/>
      <c r="AF45" s="378"/>
      <c r="AG45" s="378"/>
      <c r="AH45" s="378"/>
      <c r="AI45" s="378"/>
      <c r="AJ45" s="378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8"/>
      <c r="BB45" s="378"/>
      <c r="BC45" s="378"/>
      <c r="BD45" s="378"/>
      <c r="BE45" s="378"/>
      <c r="BF45" s="378"/>
      <c r="BG45" s="378"/>
      <c r="BH45" s="378"/>
      <c r="BI45" s="378" t="s">
        <v>77</v>
      </c>
      <c r="BJ45" s="378"/>
      <c r="BK45" s="378"/>
      <c r="BL45" s="378"/>
      <c r="BM45" s="378"/>
      <c r="BN45" s="378" t="s">
        <v>65</v>
      </c>
      <c r="BO45" s="378"/>
      <c r="BP45" s="378"/>
      <c r="BQ45" s="378" t="s">
        <v>15</v>
      </c>
      <c r="BR45" s="378"/>
      <c r="BS45" s="378"/>
      <c r="BT45" s="378"/>
      <c r="BU45" s="378"/>
      <c r="BV45" s="378"/>
      <c r="BW45" s="378"/>
      <c r="BX45" s="378"/>
      <c r="BY45" s="378"/>
      <c r="BZ45" s="378"/>
      <c r="CA45" s="378"/>
      <c r="CB45" s="378"/>
      <c r="CC45" s="378"/>
      <c r="CD45" s="378"/>
      <c r="CE45" s="378" t="s">
        <v>4</v>
      </c>
      <c r="CF45" s="378"/>
      <c r="CG45" s="378"/>
      <c r="CH45" s="378"/>
      <c r="CI45" s="378"/>
      <c r="CJ45" s="378"/>
      <c r="CK45" s="378"/>
      <c r="CL45" s="378"/>
      <c r="CM45" s="378"/>
      <c r="CN45" s="378"/>
      <c r="CO45" s="378" t="s">
        <v>21</v>
      </c>
      <c r="CP45" s="378"/>
      <c r="CQ45" s="378"/>
      <c r="CR45" s="378"/>
      <c r="CS45" s="378"/>
      <c r="CT45" s="378"/>
      <c r="CU45" s="378"/>
      <c r="CV45" s="378"/>
      <c r="CW45" s="378"/>
      <c r="CX45" s="378"/>
      <c r="CY45" s="378"/>
      <c r="CZ45" s="378"/>
      <c r="DA45" s="378"/>
      <c r="DB45" s="378"/>
      <c r="DC45" s="378"/>
      <c r="DD45" s="378"/>
      <c r="DE45" s="378"/>
      <c r="DF45" s="378"/>
      <c r="DG45" s="378"/>
      <c r="DH45" s="378"/>
      <c r="DI45" s="378"/>
      <c r="DL45" s="81"/>
      <c r="DM45" s="142"/>
      <c r="DN45" s="145"/>
      <c r="DO45" s="53"/>
      <c r="DP45" s="378" t="s">
        <v>317</v>
      </c>
      <c r="DQ45" s="378"/>
      <c r="DR45" s="378"/>
      <c r="DS45" s="378"/>
      <c r="DT45" s="378"/>
      <c r="DU45" s="378"/>
      <c r="DV45" s="378"/>
      <c r="DW45" s="378"/>
      <c r="DX45" s="378"/>
      <c r="DY45" s="378"/>
      <c r="DZ45" s="378"/>
      <c r="EA45" s="378"/>
      <c r="EB45" s="378"/>
      <c r="EC45" s="378"/>
      <c r="ED45" s="378"/>
      <c r="EE45" s="378"/>
      <c r="EF45" s="378"/>
      <c r="EG45" s="378"/>
      <c r="EH45" s="378"/>
      <c r="EI45" s="378"/>
      <c r="EJ45" s="378"/>
      <c r="EK45" s="378"/>
      <c r="EL45" s="378"/>
      <c r="EM45" s="378"/>
      <c r="EN45" s="378"/>
      <c r="EO45" s="378"/>
      <c r="EP45" s="378"/>
      <c r="EQ45" s="378"/>
      <c r="ER45" s="378"/>
      <c r="ES45" s="378"/>
      <c r="ET45" s="378"/>
      <c r="EU45" s="378"/>
      <c r="EV45" s="378"/>
      <c r="EW45" s="378"/>
      <c r="EX45" s="378"/>
      <c r="EY45" s="378"/>
      <c r="EZ45" s="378"/>
      <c r="FA45" s="378"/>
      <c r="FB45" s="378"/>
      <c r="FC45" s="378"/>
      <c r="FD45" s="378"/>
      <c r="FE45" s="378"/>
      <c r="FF45" s="378"/>
      <c r="FG45" s="378"/>
      <c r="FH45" s="378"/>
      <c r="FI45" s="378"/>
      <c r="FJ45" s="378"/>
      <c r="FK45" s="378"/>
    </row>
    <row r="46" spans="1:199" s="42" customFormat="1" x14ac:dyDescent="0.25">
      <c r="A46" s="195" t="s">
        <v>0</v>
      </c>
      <c r="B46" s="18" t="s">
        <v>5</v>
      </c>
      <c r="C46" s="42" t="s">
        <v>89</v>
      </c>
      <c r="D46" s="220" t="s">
        <v>95</v>
      </c>
      <c r="E46" s="247"/>
      <c r="F46" s="260"/>
      <c r="G46" s="260"/>
      <c r="H46" s="42" t="s">
        <v>28</v>
      </c>
      <c r="I46" s="129" t="s">
        <v>382</v>
      </c>
      <c r="J46" s="214" t="s">
        <v>2044</v>
      </c>
      <c r="K46" s="214" t="s">
        <v>2045</v>
      </c>
      <c r="L46" s="214" t="s">
        <v>2046</v>
      </c>
      <c r="M46" s="214" t="s">
        <v>1548</v>
      </c>
      <c r="N46" s="214" t="s">
        <v>1658</v>
      </c>
      <c r="O46" s="214" t="s">
        <v>1660</v>
      </c>
      <c r="P46" s="214" t="s">
        <v>1659</v>
      </c>
      <c r="Q46" s="105" t="s">
        <v>705</v>
      </c>
      <c r="R46" s="186"/>
      <c r="S46" s="42" t="s">
        <v>93</v>
      </c>
      <c r="T46" s="70" t="s">
        <v>567</v>
      </c>
      <c r="U46" s="153" t="s">
        <v>1368</v>
      </c>
      <c r="V46" s="53" t="s">
        <v>353</v>
      </c>
      <c r="W46" s="42" t="s">
        <v>206</v>
      </c>
      <c r="X46" s="240" t="s">
        <v>2204</v>
      </c>
      <c r="Y46" s="42" t="s">
        <v>207</v>
      </c>
      <c r="Z46" s="42" t="s">
        <v>91</v>
      </c>
      <c r="AA46" s="42" t="s">
        <v>261</v>
      </c>
      <c r="AB46" s="97" t="s">
        <v>606</v>
      </c>
      <c r="AC46" s="128" t="s">
        <v>938</v>
      </c>
      <c r="AD46" s="97" t="s">
        <v>674</v>
      </c>
      <c r="AE46" s="175" t="s">
        <v>1565</v>
      </c>
      <c r="AF46" s="163" t="s">
        <v>1507</v>
      </c>
      <c r="AG46" s="70" t="s">
        <v>531</v>
      </c>
      <c r="AH46" s="70" t="s">
        <v>541</v>
      </c>
      <c r="AI46" s="53" t="s">
        <v>382</v>
      </c>
      <c r="AJ46" s="105" t="s">
        <v>708</v>
      </c>
      <c r="AK46" s="70" t="s">
        <v>553</v>
      </c>
      <c r="AL46" s="42" t="s">
        <v>93</v>
      </c>
      <c r="AM46" s="79"/>
      <c r="AN46" s="240" t="s">
        <v>2191</v>
      </c>
      <c r="AO46" s="126" t="s">
        <v>931</v>
      </c>
      <c r="AP46" s="175" t="s">
        <v>1566</v>
      </c>
      <c r="AQ46" s="88" t="s">
        <v>635</v>
      </c>
      <c r="AR46" s="156" t="s">
        <v>1425</v>
      </c>
      <c r="AS46" s="167" t="s">
        <v>1530</v>
      </c>
      <c r="AT46" s="192" t="s">
        <v>1732</v>
      </c>
      <c r="AU46" s="119" t="s">
        <v>895</v>
      </c>
      <c r="AV46" s="158" t="s">
        <v>1459</v>
      </c>
      <c r="AW46" s="145" t="s">
        <v>1240</v>
      </c>
      <c r="AX46" s="163" t="s">
        <v>1505</v>
      </c>
      <c r="AY46" s="70" t="s">
        <v>556</v>
      </c>
      <c r="AZ46" s="156" t="s">
        <v>1434</v>
      </c>
      <c r="BA46" s="89" t="s">
        <v>640</v>
      </c>
      <c r="BB46" s="70" t="s">
        <v>552</v>
      </c>
      <c r="BC46" s="70" t="s">
        <v>565</v>
      </c>
      <c r="BD46" s="89" t="s">
        <v>597</v>
      </c>
      <c r="BE46" s="74" t="s">
        <v>488</v>
      </c>
      <c r="BF46" s="89" t="s">
        <v>1247</v>
      </c>
      <c r="BG46" s="42" t="s">
        <v>242</v>
      </c>
      <c r="BH46" s="42" t="s">
        <v>92</v>
      </c>
      <c r="BI46" s="42" t="s">
        <v>80</v>
      </c>
      <c r="BJ46" s="156" t="s">
        <v>1430</v>
      </c>
      <c r="BK46" s="97" t="s">
        <v>256</v>
      </c>
      <c r="BL46" s="97" t="s">
        <v>673</v>
      </c>
      <c r="BM46" s="42" t="s">
        <v>81</v>
      </c>
      <c r="BN46" s="42" t="s">
        <v>80</v>
      </c>
      <c r="BO46" s="156" t="s">
        <v>1430</v>
      </c>
      <c r="BP46" s="42" t="s">
        <v>81</v>
      </c>
      <c r="BQ46" s="42" t="s">
        <v>226</v>
      </c>
      <c r="BR46" s="42" t="s">
        <v>69</v>
      </c>
      <c r="BS46" s="42" t="s">
        <v>84</v>
      </c>
      <c r="BT46" s="42" t="s">
        <v>76</v>
      </c>
      <c r="BU46" s="42" t="s">
        <v>38</v>
      </c>
      <c r="BV46" s="42" t="s">
        <v>271</v>
      </c>
      <c r="BW46" s="42" t="s">
        <v>34</v>
      </c>
      <c r="BX46" s="42" t="s">
        <v>35</v>
      </c>
      <c r="BY46" s="42" t="s">
        <v>6</v>
      </c>
      <c r="BZ46" s="42" t="s">
        <v>82</v>
      </c>
      <c r="CA46" s="42" t="s">
        <v>63</v>
      </c>
      <c r="CB46" s="42" t="s">
        <v>68</v>
      </c>
      <c r="CC46" s="42" t="s">
        <v>221</v>
      </c>
      <c r="CD46" s="42" t="s">
        <v>83</v>
      </c>
      <c r="CE46" s="42" t="s">
        <v>37</v>
      </c>
      <c r="CF46" s="42" t="s">
        <v>74</v>
      </c>
      <c r="CG46" s="42" t="s">
        <v>39</v>
      </c>
      <c r="CH46" s="42" t="s">
        <v>6</v>
      </c>
      <c r="CI46" s="42" t="s">
        <v>38</v>
      </c>
      <c r="CJ46" s="42" t="s">
        <v>78</v>
      </c>
      <c r="CK46" s="42" t="s">
        <v>79</v>
      </c>
      <c r="CL46" s="42" t="s">
        <v>59</v>
      </c>
      <c r="CM46" s="42" t="s">
        <v>36</v>
      </c>
      <c r="CN46" s="42" t="s">
        <v>63</v>
      </c>
      <c r="CO46" s="42" t="s">
        <v>38</v>
      </c>
      <c r="CP46" s="338"/>
      <c r="CQ46" s="347"/>
      <c r="CR46" s="146" t="s">
        <v>6</v>
      </c>
      <c r="CS46" s="53" t="s">
        <v>37</v>
      </c>
      <c r="CT46" s="144" t="s">
        <v>1186</v>
      </c>
      <c r="CU46" s="359"/>
      <c r="CV46" s="144" t="s">
        <v>1189</v>
      </c>
      <c r="CW46" s="42" t="s">
        <v>39</v>
      </c>
      <c r="CX46" s="168" t="s">
        <v>690</v>
      </c>
      <c r="CY46" s="42" t="s">
        <v>19</v>
      </c>
      <c r="CZ46" s="230" t="s">
        <v>2125</v>
      </c>
      <c r="DA46" s="42" t="s">
        <v>68</v>
      </c>
      <c r="DB46" s="42" t="s">
        <v>323</v>
      </c>
      <c r="DC46" s="42" t="s">
        <v>69</v>
      </c>
      <c r="DD46" s="197" t="s">
        <v>1776</v>
      </c>
      <c r="DE46" s="220" t="s">
        <v>2065</v>
      </c>
      <c r="DF46" s="53" t="s">
        <v>377</v>
      </c>
      <c r="DG46" s="163" t="s">
        <v>1514</v>
      </c>
      <c r="DH46" s="354"/>
      <c r="DI46" s="42" t="s">
        <v>62</v>
      </c>
      <c r="DJ46" s="90" t="s">
        <v>392</v>
      </c>
      <c r="DK46" s="240" t="s">
        <v>2190</v>
      </c>
      <c r="DL46" s="81"/>
      <c r="DM46" s="142" t="s">
        <v>1132</v>
      </c>
      <c r="DN46" s="145" t="s">
        <v>1248</v>
      </c>
      <c r="DO46" s="88" t="s">
        <v>634</v>
      </c>
      <c r="DP46" s="42" t="s">
        <v>306</v>
      </c>
      <c r="DQ46" s="119" t="s">
        <v>896</v>
      </c>
      <c r="DR46" s="36" t="s">
        <v>307</v>
      </c>
      <c r="DS46" s="238" t="s">
        <v>2141</v>
      </c>
      <c r="DT46" s="238" t="s">
        <v>2142</v>
      </c>
      <c r="DU46" s="238" t="s">
        <v>2143</v>
      </c>
      <c r="DV46" s="42" t="s">
        <v>69</v>
      </c>
      <c r="DW46" s="186" t="s">
        <v>1672</v>
      </c>
      <c r="DX46" s="42" t="s">
        <v>84</v>
      </c>
      <c r="DY46" s="105" t="s">
        <v>709</v>
      </c>
      <c r="DZ46" s="105" t="s">
        <v>710</v>
      </c>
      <c r="EA46" s="240" t="s">
        <v>2203</v>
      </c>
      <c r="EB46" s="223" t="s">
        <v>2093</v>
      </c>
      <c r="EC46" s="147" t="s">
        <v>1289</v>
      </c>
      <c r="ED46" s="121" t="s">
        <v>902</v>
      </c>
      <c r="EE46" s="105" t="s">
        <v>711</v>
      </c>
      <c r="EF46" s="89" t="s">
        <v>624</v>
      </c>
      <c r="EG46" s="105" t="s">
        <v>699</v>
      </c>
      <c r="EH46" s="74" t="s">
        <v>37</v>
      </c>
      <c r="EI46" s="223" t="s">
        <v>2089</v>
      </c>
      <c r="EJ46" s="42" t="s">
        <v>76</v>
      </c>
      <c r="EK46" s="42" t="s">
        <v>38</v>
      </c>
      <c r="EL46" s="89" t="s">
        <v>611</v>
      </c>
      <c r="EM46" s="89" t="s">
        <v>612</v>
      </c>
      <c r="EN46" s="89" t="s">
        <v>613</v>
      </c>
      <c r="EO46" s="89" t="s">
        <v>620</v>
      </c>
      <c r="EP46" s="74" t="s">
        <v>377</v>
      </c>
      <c r="EQ46" s="42" t="s">
        <v>271</v>
      </c>
      <c r="ER46" s="42" t="s">
        <v>34</v>
      </c>
      <c r="ES46" s="42" t="s">
        <v>35</v>
      </c>
      <c r="ET46" s="105" t="s">
        <v>713</v>
      </c>
      <c r="EU46" s="89" t="s">
        <v>621</v>
      </c>
      <c r="EV46" s="89" t="s">
        <v>622</v>
      </c>
      <c r="EW46" s="89" t="s">
        <v>623</v>
      </c>
      <c r="EX46" s="214" t="s">
        <v>2047</v>
      </c>
      <c r="EY46" s="42" t="s">
        <v>6</v>
      </c>
      <c r="EZ46" s="89" t="s">
        <v>603</v>
      </c>
      <c r="FA46" s="89" t="s">
        <v>618</v>
      </c>
      <c r="FB46" s="89" t="s">
        <v>1249</v>
      </c>
      <c r="FC46" s="42" t="s">
        <v>82</v>
      </c>
      <c r="FD46" s="89" t="s">
        <v>489</v>
      </c>
      <c r="FE46" s="42" t="s">
        <v>63</v>
      </c>
      <c r="FF46" s="42" t="s">
        <v>68</v>
      </c>
      <c r="FG46" s="53" t="s">
        <v>442</v>
      </c>
      <c r="FH46" s="154" t="s">
        <v>1371</v>
      </c>
      <c r="FI46" s="178" t="s">
        <v>1593</v>
      </c>
      <c r="FJ46" s="42" t="s">
        <v>221</v>
      </c>
      <c r="FK46" s="42" t="s">
        <v>83</v>
      </c>
      <c r="FL46" s="42" t="s">
        <v>19</v>
      </c>
      <c r="FM46" s="89" t="s">
        <v>614</v>
      </c>
      <c r="FN46" s="89" t="s">
        <v>617</v>
      </c>
      <c r="FO46" s="89" t="s">
        <v>616</v>
      </c>
      <c r="FP46" s="89" t="s">
        <v>615</v>
      </c>
      <c r="FQ46" s="89" t="s">
        <v>470</v>
      </c>
      <c r="FR46" s="53" t="s">
        <v>363</v>
      </c>
      <c r="FS46" s="55"/>
      <c r="FT46" s="97"/>
      <c r="FU46" s="55"/>
      <c r="FV46" s="89" t="s">
        <v>596</v>
      </c>
      <c r="FW46" s="53" t="s">
        <v>417</v>
      </c>
      <c r="FX46" s="70" t="s">
        <v>472</v>
      </c>
      <c r="FY46" s="126" t="s">
        <v>933</v>
      </c>
      <c r="FZ46" s="147" t="s">
        <v>1293</v>
      </c>
      <c r="GA46" s="184" t="s">
        <v>1654</v>
      </c>
      <c r="GB46" s="184" t="s">
        <v>1655</v>
      </c>
      <c r="GC46" s="190" t="s">
        <v>1726</v>
      </c>
      <c r="GD46" s="70" t="s">
        <v>566</v>
      </c>
      <c r="GE46" s="277"/>
      <c r="GG46" s="366"/>
      <c r="GH46" s="294"/>
      <c r="GI46" s="277"/>
      <c r="GQ46" s="314"/>
    </row>
    <row r="47" spans="1:199" x14ac:dyDescent="0.25">
      <c r="A47" s="195" t="s">
        <v>43</v>
      </c>
      <c r="B47" s="18" t="s">
        <v>2</v>
      </c>
      <c r="C47" s="11">
        <f>C42</f>
        <v>289096</v>
      </c>
      <c r="H47" s="35"/>
      <c r="I47" s="129"/>
      <c r="J47" s="214"/>
      <c r="K47" s="214"/>
      <c r="L47" s="214"/>
      <c r="M47" s="169"/>
      <c r="N47" s="186"/>
      <c r="O47" s="186"/>
      <c r="P47" s="186"/>
      <c r="Q47" s="105"/>
      <c r="R47" s="186"/>
      <c r="S47" s="35"/>
      <c r="T47" s="70"/>
      <c r="U47" s="153"/>
      <c r="V47" s="43"/>
      <c r="W47" s="35"/>
      <c r="X47" s="240"/>
      <c r="Y47" s="35"/>
      <c r="Z47" s="14">
        <f>Z42</f>
        <v>59565</v>
      </c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>
        <f>AL42</f>
        <v>10185</v>
      </c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DS47" s="65">
        <f t="shared" ref="DS47:EK47" si="3">DS42</f>
        <v>0</v>
      </c>
      <c r="DV47" s="1">
        <f t="shared" si="3"/>
        <v>0</v>
      </c>
      <c r="DX47" s="1">
        <f t="shared" si="3"/>
        <v>0</v>
      </c>
      <c r="EH47" s="1">
        <f t="shared" si="3"/>
        <v>0</v>
      </c>
      <c r="EJ47" s="1">
        <f t="shared" si="3"/>
        <v>0</v>
      </c>
      <c r="EK47" s="1">
        <f t="shared" si="3"/>
        <v>0</v>
      </c>
    </row>
    <row r="48" spans="1:199" x14ac:dyDescent="0.25">
      <c r="A48" s="195" t="s">
        <v>43</v>
      </c>
      <c r="B48" s="18" t="s">
        <v>16</v>
      </c>
      <c r="C48" s="11">
        <v>-13464</v>
      </c>
      <c r="D48" s="64" t="s">
        <v>122</v>
      </c>
      <c r="E48" s="64"/>
      <c r="F48" s="64"/>
      <c r="G48" s="6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>
        <v>13464</v>
      </c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</row>
    <row r="49" spans="1:125" x14ac:dyDescent="0.25">
      <c r="A49" s="195" t="s">
        <v>44</v>
      </c>
      <c r="B49" s="18" t="s">
        <v>45</v>
      </c>
      <c r="C49" s="11">
        <v>-515</v>
      </c>
      <c r="D49" s="64" t="s">
        <v>123</v>
      </c>
      <c r="E49" s="64"/>
      <c r="F49" s="64"/>
      <c r="G49" s="64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U49" s="1">
        <v>515</v>
      </c>
    </row>
    <row r="50" spans="1:125" x14ac:dyDescent="0.25">
      <c r="A50" s="195" t="s">
        <v>44</v>
      </c>
      <c r="B50" s="18" t="s">
        <v>47</v>
      </c>
      <c r="C50" s="11">
        <v>-765</v>
      </c>
      <c r="D50" s="64" t="s">
        <v>124</v>
      </c>
      <c r="E50" s="64"/>
      <c r="F50" s="64"/>
      <c r="G50" s="6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U50" s="1">
        <v>50</v>
      </c>
      <c r="BY50" s="1">
        <v>15</v>
      </c>
      <c r="BZ50" s="1">
        <v>700</v>
      </c>
    </row>
    <row r="51" spans="1:125" x14ac:dyDescent="0.25">
      <c r="A51" s="195" t="s">
        <v>48</v>
      </c>
      <c r="B51" s="18" t="s">
        <v>16</v>
      </c>
      <c r="C51" s="11">
        <v>-13464</v>
      </c>
      <c r="D51" s="64" t="s">
        <v>125</v>
      </c>
      <c r="E51" s="64"/>
      <c r="F51" s="64"/>
      <c r="G51" s="6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>
        <v>13464</v>
      </c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</row>
    <row r="52" spans="1:125" x14ac:dyDescent="0.25">
      <c r="A52" s="195" t="s">
        <v>50</v>
      </c>
      <c r="B52" s="18" t="s">
        <v>24</v>
      </c>
      <c r="C52" s="11">
        <v>-12324</v>
      </c>
      <c r="D52" s="64" t="s">
        <v>126</v>
      </c>
      <c r="E52" s="64"/>
      <c r="F52" s="64"/>
      <c r="G52" s="6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>
        <v>12324</v>
      </c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</row>
    <row r="53" spans="1:125" x14ac:dyDescent="0.25">
      <c r="A53" s="195" t="s">
        <v>51</v>
      </c>
      <c r="B53" s="18" t="s">
        <v>52</v>
      </c>
      <c r="C53" s="11">
        <v>-32000</v>
      </c>
      <c r="D53" s="220" t="s">
        <v>127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DA53" s="1">
        <v>32000</v>
      </c>
    </row>
    <row r="54" spans="1:125" s="4" customFormat="1" x14ac:dyDescent="0.25">
      <c r="A54" s="10" t="s">
        <v>53</v>
      </c>
      <c r="B54" s="32" t="s">
        <v>292</v>
      </c>
      <c r="C54" s="10">
        <v>500000</v>
      </c>
      <c r="D54" s="10" t="s">
        <v>152</v>
      </c>
      <c r="E54" s="248"/>
      <c r="F54" s="261"/>
      <c r="G54" s="261"/>
      <c r="H54" s="12">
        <v>500000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DS54" s="12"/>
      <c r="DT54" s="12"/>
      <c r="DU54" s="12"/>
    </row>
    <row r="55" spans="1:125" x14ac:dyDescent="0.25">
      <c r="A55" s="195" t="s">
        <v>53</v>
      </c>
      <c r="B55" s="41" t="s">
        <v>227</v>
      </c>
      <c r="C55" s="11">
        <v>-200000</v>
      </c>
      <c r="D55" s="220" t="s">
        <v>128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Q55" s="1">
        <v>200000</v>
      </c>
    </row>
    <row r="56" spans="1:125" s="4" customFormat="1" x14ac:dyDescent="0.25">
      <c r="A56" s="10" t="s">
        <v>53</v>
      </c>
      <c r="B56" s="32" t="s">
        <v>67</v>
      </c>
      <c r="C56" s="36">
        <v>-1200</v>
      </c>
      <c r="D56" s="36" t="s">
        <v>129</v>
      </c>
      <c r="E56" s="36"/>
      <c r="F56" s="36"/>
      <c r="G56" s="36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W56" s="4">
        <v>1200</v>
      </c>
      <c r="DS56" s="12"/>
      <c r="DT56" s="12"/>
      <c r="DU56" s="12"/>
    </row>
    <row r="57" spans="1:125" x14ac:dyDescent="0.25">
      <c r="A57" s="195" t="s">
        <v>54</v>
      </c>
      <c r="B57" s="18" t="s">
        <v>55</v>
      </c>
      <c r="C57" s="11">
        <v>-330500</v>
      </c>
      <c r="D57" s="220" t="s">
        <v>130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DC57" s="1">
        <v>330500</v>
      </c>
    </row>
    <row r="58" spans="1:125" x14ac:dyDescent="0.25">
      <c r="A58" s="195" t="s">
        <v>54</v>
      </c>
      <c r="B58" s="18" t="s">
        <v>13</v>
      </c>
      <c r="C58" s="11">
        <v>-1150</v>
      </c>
      <c r="D58" s="220" t="s">
        <v>131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">
        <v>1150</v>
      </c>
    </row>
    <row r="59" spans="1:125" x14ac:dyDescent="0.25">
      <c r="A59" s="195" t="s">
        <v>54</v>
      </c>
      <c r="B59" s="18" t="s">
        <v>58</v>
      </c>
      <c r="C59" s="11">
        <v>-34</v>
      </c>
      <c r="D59" s="220" t="s">
        <v>132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CY59" s="1">
        <v>34</v>
      </c>
    </row>
    <row r="60" spans="1:125" x14ac:dyDescent="0.25">
      <c r="A60" s="195" t="s">
        <v>70</v>
      </c>
      <c r="B60" s="18" t="s">
        <v>62</v>
      </c>
      <c r="C60" s="11">
        <v>-40000</v>
      </c>
      <c r="D60" s="220" t="s">
        <v>133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DI60" s="1">
        <v>40000</v>
      </c>
    </row>
    <row r="61" spans="1:125" x14ac:dyDescent="0.25">
      <c r="A61" s="195" t="s">
        <v>70</v>
      </c>
      <c r="B61" s="18" t="s">
        <v>155</v>
      </c>
      <c r="C61" s="11"/>
      <c r="D61" s="10" t="s">
        <v>183</v>
      </c>
      <c r="E61" s="248"/>
      <c r="F61" s="261"/>
      <c r="G61" s="261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>
        <v>-10386</v>
      </c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U61" s="1">
        <v>80</v>
      </c>
      <c r="BY61" s="1">
        <v>185</v>
      </c>
      <c r="BZ61" s="1">
        <v>4091</v>
      </c>
      <c r="CA61" s="1">
        <v>5500</v>
      </c>
      <c r="CD61" s="1">
        <v>530</v>
      </c>
    </row>
    <row r="62" spans="1:125" s="4" customFormat="1" x14ac:dyDescent="0.25">
      <c r="A62" s="10" t="s">
        <v>70</v>
      </c>
      <c r="B62" s="32" t="s">
        <v>155</v>
      </c>
      <c r="C62" s="10"/>
      <c r="D62" s="10" t="s">
        <v>186</v>
      </c>
      <c r="E62" s="248"/>
      <c r="F62" s="261"/>
      <c r="G62" s="261"/>
      <c r="Z62" s="12">
        <v>-96492</v>
      </c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CG62" s="4">
        <v>91700</v>
      </c>
      <c r="CH62" s="4">
        <v>1592</v>
      </c>
      <c r="CI62" s="4">
        <v>1900</v>
      </c>
      <c r="CJ62" s="4">
        <v>700</v>
      </c>
      <c r="CN62" s="4">
        <v>600</v>
      </c>
      <c r="DS62" s="12"/>
      <c r="DT62" s="12"/>
      <c r="DU62" s="12"/>
    </row>
    <row r="63" spans="1:125" x14ac:dyDescent="0.25">
      <c r="A63" s="11" t="s">
        <v>54</v>
      </c>
      <c r="B63" s="41" t="s">
        <v>24</v>
      </c>
      <c r="C63" s="11">
        <v>-35700</v>
      </c>
      <c r="D63" s="11" t="s">
        <v>134</v>
      </c>
      <c r="E63" s="11"/>
      <c r="F63" s="11"/>
      <c r="G63" s="11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>
        <v>35700</v>
      </c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</row>
    <row r="64" spans="1:125" x14ac:dyDescent="0.25">
      <c r="A64" s="195" t="s">
        <v>66</v>
      </c>
      <c r="B64" s="18" t="s">
        <v>13</v>
      </c>
      <c r="C64" s="11">
        <v>-40600</v>
      </c>
      <c r="D64" s="220" t="s">
        <v>135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">
        <v>40600</v>
      </c>
    </row>
    <row r="65" spans="1:186" x14ac:dyDescent="0.25">
      <c r="A65" s="195" t="s">
        <v>66</v>
      </c>
      <c r="B65" s="18" t="s">
        <v>155</v>
      </c>
      <c r="C65" s="11"/>
      <c r="D65" s="10" t="s">
        <v>189</v>
      </c>
      <c r="E65" s="248"/>
      <c r="F65" s="261"/>
      <c r="G65" s="261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">
        <v>-40600</v>
      </c>
      <c r="CI65" s="1">
        <v>6000</v>
      </c>
      <c r="CL65" s="1">
        <v>3000</v>
      </c>
      <c r="CN65" s="1">
        <v>3600</v>
      </c>
      <c r="CO65" s="1">
        <v>28000</v>
      </c>
    </row>
    <row r="66" spans="1:186" x14ac:dyDescent="0.25">
      <c r="A66" s="195" t="s">
        <v>66</v>
      </c>
      <c r="B66" s="18" t="s">
        <v>155</v>
      </c>
      <c r="C66" s="11"/>
      <c r="D66" s="10" t="s">
        <v>192</v>
      </c>
      <c r="E66" s="248"/>
      <c r="F66" s="261"/>
      <c r="G66" s="261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">
        <v>-1150</v>
      </c>
      <c r="BU66" s="1">
        <v>1010</v>
      </c>
      <c r="CA66" s="1">
        <v>140</v>
      </c>
    </row>
    <row r="67" spans="1:186" x14ac:dyDescent="0.25">
      <c r="A67" s="195" t="s">
        <v>71</v>
      </c>
      <c r="B67" s="18" t="s">
        <v>72</v>
      </c>
      <c r="C67" s="11">
        <v>-50000</v>
      </c>
      <c r="D67" s="220" t="s">
        <v>136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CF67" s="1">
        <v>50000</v>
      </c>
    </row>
    <row r="68" spans="1:186" x14ac:dyDescent="0.25">
      <c r="A68" s="195" t="s">
        <v>64</v>
      </c>
      <c r="B68" s="41" t="s">
        <v>293</v>
      </c>
      <c r="C68" s="11">
        <v>450000</v>
      </c>
      <c r="D68" s="220" t="s">
        <v>153</v>
      </c>
      <c r="H68" s="14">
        <v>450000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</row>
    <row r="69" spans="1:186" x14ac:dyDescent="0.25">
      <c r="A69" s="195" t="s">
        <v>73</v>
      </c>
      <c r="B69" s="41" t="s">
        <v>227</v>
      </c>
      <c r="C69" s="11">
        <v>-300000</v>
      </c>
      <c r="D69" s="220" t="s">
        <v>137</v>
      </c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Q69" s="1">
        <v>300000</v>
      </c>
    </row>
    <row r="70" spans="1:186" x14ac:dyDescent="0.25">
      <c r="A70" s="195" t="s">
        <v>73</v>
      </c>
      <c r="B70" s="18" t="s">
        <v>101</v>
      </c>
      <c r="C70" s="11">
        <v>-1080</v>
      </c>
      <c r="D70" s="220" t="s">
        <v>138</v>
      </c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U70" s="1">
        <v>1080</v>
      </c>
    </row>
    <row r="71" spans="1:186" x14ac:dyDescent="0.25">
      <c r="A71" s="195" t="s">
        <v>73</v>
      </c>
      <c r="B71" s="18" t="s">
        <v>99</v>
      </c>
      <c r="C71" s="11">
        <v>-285</v>
      </c>
      <c r="D71" s="220" t="s">
        <v>138</v>
      </c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CA71" s="1">
        <v>285</v>
      </c>
    </row>
    <row r="72" spans="1:186" x14ac:dyDescent="0.25">
      <c r="A72" s="195" t="s">
        <v>73</v>
      </c>
      <c r="B72" s="18" t="s">
        <v>75</v>
      </c>
      <c r="C72" s="10">
        <v>-110000</v>
      </c>
      <c r="D72" s="220" t="s">
        <v>139</v>
      </c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S72" s="1">
        <v>110000</v>
      </c>
    </row>
    <row r="73" spans="1:186" x14ac:dyDescent="0.25">
      <c r="A73" s="195" t="s">
        <v>73</v>
      </c>
      <c r="B73" s="18" t="s">
        <v>87</v>
      </c>
      <c r="C73" s="11">
        <v>-340</v>
      </c>
      <c r="D73" s="220" t="s">
        <v>140</v>
      </c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U73" s="1">
        <v>340</v>
      </c>
    </row>
    <row r="74" spans="1:186" x14ac:dyDescent="0.25">
      <c r="A74" s="195" t="s">
        <v>73</v>
      </c>
      <c r="B74" s="18" t="s">
        <v>88</v>
      </c>
      <c r="C74" s="11">
        <v>-110</v>
      </c>
      <c r="D74" s="220" t="s">
        <v>140</v>
      </c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CA74" s="1">
        <v>110</v>
      </c>
    </row>
    <row r="75" spans="1:186" x14ac:dyDescent="0.25">
      <c r="A75" s="195" t="s">
        <v>73</v>
      </c>
      <c r="B75" s="18" t="s">
        <v>155</v>
      </c>
      <c r="C75" s="11"/>
      <c r="D75" s="10" t="s">
        <v>195</v>
      </c>
      <c r="E75" s="248"/>
      <c r="F75" s="261"/>
      <c r="G75" s="261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>
        <f>-12324-33700</f>
        <v>-46024</v>
      </c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R75" s="1">
        <v>6000</v>
      </c>
      <c r="BT75" s="1">
        <f>21000+6000</f>
        <v>27000</v>
      </c>
      <c r="BY75" s="1">
        <f>700+224</f>
        <v>924</v>
      </c>
      <c r="CA75" s="1">
        <v>12100</v>
      </c>
    </row>
    <row r="76" spans="1:186" x14ac:dyDescent="0.25">
      <c r="A76" s="195" t="s">
        <v>85</v>
      </c>
      <c r="B76" s="18" t="s">
        <v>102</v>
      </c>
      <c r="C76" s="11">
        <v>1799</v>
      </c>
      <c r="D76" s="220" t="s">
        <v>154</v>
      </c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>
        <v>-1799</v>
      </c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1:186" x14ac:dyDescent="0.25">
      <c r="A77" s="195" t="s">
        <v>85</v>
      </c>
      <c r="B77" s="41" t="s">
        <v>24</v>
      </c>
      <c r="C77" s="11">
        <v>-5000</v>
      </c>
      <c r="D77" s="220" t="s">
        <v>141</v>
      </c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>
        <v>5000</v>
      </c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1:186" s="4" customFormat="1" x14ac:dyDescent="0.25">
      <c r="A78" s="10"/>
      <c r="B78" s="32"/>
      <c r="C78" s="4">
        <f>SUM(C47:C77)</f>
        <v>52364</v>
      </c>
      <c r="D78" s="4">
        <f t="shared" ref="D78:BS78" si="4">SUM(D47:D77)</f>
        <v>0</v>
      </c>
      <c r="H78" s="4">
        <f t="shared" si="4"/>
        <v>950000</v>
      </c>
      <c r="I78" s="4">
        <f t="shared" si="4"/>
        <v>0</v>
      </c>
      <c r="J78" s="4">
        <f t="shared" si="4"/>
        <v>0</v>
      </c>
      <c r="K78" s="4">
        <f t="shared" si="4"/>
        <v>0</v>
      </c>
      <c r="L78" s="4">
        <f t="shared" si="4"/>
        <v>0</v>
      </c>
      <c r="M78" s="4">
        <f t="shared" si="4"/>
        <v>0</v>
      </c>
      <c r="N78" s="4">
        <f t="shared" si="4"/>
        <v>0</v>
      </c>
      <c r="O78" s="4">
        <f t="shared" si="4"/>
        <v>0</v>
      </c>
      <c r="P78" s="4">
        <f t="shared" si="4"/>
        <v>0</v>
      </c>
      <c r="Q78" s="4">
        <f t="shared" si="4"/>
        <v>0</v>
      </c>
      <c r="R78" s="4">
        <f t="shared" si="4"/>
        <v>0</v>
      </c>
      <c r="S78" s="4">
        <f t="shared" si="4"/>
        <v>0</v>
      </c>
      <c r="T78" s="4">
        <f t="shared" si="4"/>
        <v>0</v>
      </c>
      <c r="U78" s="4">
        <f t="shared" si="4"/>
        <v>0</v>
      </c>
      <c r="V78" s="4">
        <f t="shared" si="4"/>
        <v>0</v>
      </c>
      <c r="W78" s="4">
        <f t="shared" si="4"/>
        <v>0</v>
      </c>
      <c r="Y78" s="4">
        <f t="shared" si="4"/>
        <v>0</v>
      </c>
      <c r="Z78" s="4">
        <f t="shared" si="4"/>
        <v>-9999</v>
      </c>
      <c r="AA78" s="4">
        <f t="shared" si="4"/>
        <v>0</v>
      </c>
      <c r="AB78" s="4">
        <f t="shared" si="4"/>
        <v>0</v>
      </c>
      <c r="AC78" s="4">
        <f t="shared" si="4"/>
        <v>0</v>
      </c>
      <c r="AD78" s="4">
        <f t="shared" si="4"/>
        <v>0</v>
      </c>
      <c r="AE78" s="4">
        <f t="shared" si="4"/>
        <v>0</v>
      </c>
      <c r="AF78" s="4">
        <f t="shared" si="4"/>
        <v>0</v>
      </c>
      <c r="AG78" s="4">
        <f t="shared" si="4"/>
        <v>0</v>
      </c>
      <c r="AH78" s="4">
        <f t="shared" si="4"/>
        <v>0</v>
      </c>
      <c r="AI78" s="4">
        <f t="shared" si="4"/>
        <v>0</v>
      </c>
      <c r="AJ78" s="4">
        <f t="shared" si="4"/>
        <v>0</v>
      </c>
      <c r="AK78" s="4">
        <f t="shared" si="4"/>
        <v>0</v>
      </c>
      <c r="AL78" s="4">
        <f t="shared" si="4"/>
        <v>5000</v>
      </c>
      <c r="AM78" s="4">
        <f t="shared" si="4"/>
        <v>0</v>
      </c>
      <c r="AN78" s="4">
        <f t="shared" si="4"/>
        <v>0</v>
      </c>
      <c r="AO78" s="4">
        <f t="shared" si="4"/>
        <v>0</v>
      </c>
      <c r="AP78" s="4">
        <f t="shared" si="4"/>
        <v>0</v>
      </c>
      <c r="AQ78" s="4">
        <f t="shared" si="4"/>
        <v>0</v>
      </c>
      <c r="AR78" s="4">
        <f t="shared" si="4"/>
        <v>0</v>
      </c>
      <c r="AS78" s="4">
        <f t="shared" si="4"/>
        <v>0</v>
      </c>
      <c r="AT78" s="4">
        <f t="shared" si="4"/>
        <v>0</v>
      </c>
      <c r="AU78" s="4">
        <f t="shared" si="4"/>
        <v>0</v>
      </c>
      <c r="AV78" s="4">
        <f t="shared" si="4"/>
        <v>0</v>
      </c>
      <c r="AW78" s="4">
        <f t="shared" si="4"/>
        <v>0</v>
      </c>
      <c r="AX78" s="4">
        <f t="shared" si="4"/>
        <v>0</v>
      </c>
      <c r="AY78" s="4">
        <f t="shared" si="4"/>
        <v>0</v>
      </c>
      <c r="AZ78" s="4">
        <f t="shared" si="4"/>
        <v>0</v>
      </c>
      <c r="BA78" s="4">
        <f t="shared" si="4"/>
        <v>0</v>
      </c>
      <c r="BB78" s="4">
        <f t="shared" si="4"/>
        <v>0</v>
      </c>
      <c r="BC78" s="4">
        <f t="shared" si="4"/>
        <v>0</v>
      </c>
      <c r="BD78" s="4">
        <f t="shared" si="4"/>
        <v>0</v>
      </c>
      <c r="BE78" s="4">
        <f t="shared" si="4"/>
        <v>0</v>
      </c>
      <c r="BF78" s="4">
        <f t="shared" si="4"/>
        <v>0</v>
      </c>
      <c r="BG78" s="4">
        <f t="shared" si="4"/>
        <v>0</v>
      </c>
      <c r="BH78" s="4">
        <f t="shared" si="4"/>
        <v>0</v>
      </c>
      <c r="BI78" s="4">
        <f t="shared" si="4"/>
        <v>0</v>
      </c>
      <c r="BJ78" s="4">
        <f t="shared" si="4"/>
        <v>0</v>
      </c>
      <c r="BK78" s="4">
        <f t="shared" si="4"/>
        <v>0</v>
      </c>
      <c r="BL78" s="4">
        <f t="shared" si="4"/>
        <v>0</v>
      </c>
      <c r="BM78" s="4">
        <f t="shared" si="4"/>
        <v>0</v>
      </c>
      <c r="BN78" s="4">
        <f t="shared" si="4"/>
        <v>0</v>
      </c>
      <c r="BO78" s="4">
        <f t="shared" si="4"/>
        <v>0</v>
      </c>
      <c r="BP78" s="4">
        <f t="shared" si="4"/>
        <v>0</v>
      </c>
      <c r="BQ78" s="4">
        <f t="shared" si="4"/>
        <v>500000</v>
      </c>
      <c r="BR78" s="4">
        <f t="shared" si="4"/>
        <v>6000</v>
      </c>
      <c r="BS78" s="4">
        <f t="shared" si="4"/>
        <v>110000</v>
      </c>
      <c r="BT78" s="4">
        <f t="shared" ref="BT78:EJ78" si="5">SUM(BT47:BT77)</f>
        <v>27000</v>
      </c>
      <c r="BU78" s="4">
        <f t="shared" si="5"/>
        <v>3075</v>
      </c>
      <c r="BV78" s="4">
        <f t="shared" si="5"/>
        <v>0</v>
      </c>
      <c r="BW78" s="4">
        <f t="shared" si="5"/>
        <v>1200</v>
      </c>
      <c r="BX78" s="4">
        <f t="shared" si="5"/>
        <v>0</v>
      </c>
      <c r="BY78" s="4">
        <f t="shared" si="5"/>
        <v>1124</v>
      </c>
      <c r="BZ78" s="4">
        <f t="shared" si="5"/>
        <v>4791</v>
      </c>
      <c r="CA78" s="4">
        <f t="shared" si="5"/>
        <v>18135</v>
      </c>
      <c r="CB78" s="4">
        <f t="shared" si="5"/>
        <v>0</v>
      </c>
      <c r="CC78" s="4">
        <f t="shared" si="5"/>
        <v>0</v>
      </c>
      <c r="CD78" s="4">
        <f t="shared" si="5"/>
        <v>530</v>
      </c>
      <c r="CE78" s="4">
        <f t="shared" si="5"/>
        <v>0</v>
      </c>
      <c r="CF78" s="4">
        <f t="shared" si="5"/>
        <v>50000</v>
      </c>
      <c r="CG78" s="4">
        <f t="shared" si="5"/>
        <v>91700</v>
      </c>
      <c r="CH78" s="4">
        <f t="shared" si="5"/>
        <v>1592</v>
      </c>
      <c r="CI78" s="4">
        <f t="shared" si="5"/>
        <v>7900</v>
      </c>
      <c r="CJ78" s="4">
        <f t="shared" si="5"/>
        <v>700</v>
      </c>
      <c r="CK78" s="4">
        <f t="shared" si="5"/>
        <v>0</v>
      </c>
      <c r="CL78" s="4">
        <f t="shared" si="5"/>
        <v>3000</v>
      </c>
      <c r="CM78" s="4">
        <f t="shared" si="5"/>
        <v>0</v>
      </c>
      <c r="CN78" s="4">
        <f t="shared" si="5"/>
        <v>4200</v>
      </c>
      <c r="CO78" s="4">
        <f t="shared" si="5"/>
        <v>28000</v>
      </c>
      <c r="CR78" s="4">
        <f t="shared" si="5"/>
        <v>0</v>
      </c>
      <c r="CS78" s="4">
        <f t="shared" si="5"/>
        <v>0</v>
      </c>
      <c r="CT78" s="4">
        <f t="shared" si="5"/>
        <v>0</v>
      </c>
      <c r="CV78" s="4">
        <f t="shared" si="5"/>
        <v>0</v>
      </c>
      <c r="CW78" s="4">
        <f t="shared" si="5"/>
        <v>0</v>
      </c>
      <c r="CX78" s="4">
        <f t="shared" si="5"/>
        <v>0</v>
      </c>
      <c r="CY78" s="4">
        <f t="shared" si="5"/>
        <v>34</v>
      </c>
      <c r="CZ78" s="4">
        <f t="shared" si="5"/>
        <v>0</v>
      </c>
      <c r="DA78" s="4">
        <f t="shared" si="5"/>
        <v>32000</v>
      </c>
      <c r="DB78" s="4">
        <f t="shared" si="5"/>
        <v>0</v>
      </c>
      <c r="DC78" s="4">
        <f t="shared" si="5"/>
        <v>330500</v>
      </c>
      <c r="DD78" s="4">
        <f t="shared" si="5"/>
        <v>0</v>
      </c>
      <c r="DE78" s="4">
        <f t="shared" si="5"/>
        <v>0</v>
      </c>
      <c r="DF78" s="4">
        <f t="shared" si="5"/>
        <v>0</v>
      </c>
      <c r="DG78" s="4">
        <f t="shared" si="5"/>
        <v>0</v>
      </c>
      <c r="DI78" s="4">
        <f t="shared" si="5"/>
        <v>40000</v>
      </c>
      <c r="DJ78" s="4">
        <f t="shared" si="5"/>
        <v>0</v>
      </c>
      <c r="DK78" s="4">
        <f t="shared" si="5"/>
        <v>0</v>
      </c>
      <c r="DL78" s="4">
        <f t="shared" si="5"/>
        <v>0</v>
      </c>
      <c r="DM78" s="4">
        <f t="shared" si="5"/>
        <v>0</v>
      </c>
      <c r="DN78" s="4">
        <f t="shared" si="5"/>
        <v>0</v>
      </c>
      <c r="DO78" s="4">
        <f t="shared" si="5"/>
        <v>0</v>
      </c>
      <c r="DP78" s="4">
        <f t="shared" si="5"/>
        <v>0</v>
      </c>
      <c r="DQ78" s="4">
        <f t="shared" si="5"/>
        <v>0</v>
      </c>
      <c r="DR78" s="4">
        <f t="shared" si="5"/>
        <v>0</v>
      </c>
      <c r="DS78" s="4">
        <f t="shared" si="5"/>
        <v>0</v>
      </c>
      <c r="DT78" s="4">
        <f t="shared" si="5"/>
        <v>0</v>
      </c>
      <c r="DU78" s="4">
        <f t="shared" si="5"/>
        <v>0</v>
      </c>
      <c r="DV78" s="4">
        <f t="shared" si="5"/>
        <v>0</v>
      </c>
      <c r="DW78" s="4">
        <f t="shared" si="5"/>
        <v>0</v>
      </c>
      <c r="DX78" s="4">
        <f t="shared" si="5"/>
        <v>0</v>
      </c>
      <c r="DY78" s="4">
        <f t="shared" si="5"/>
        <v>0</v>
      </c>
      <c r="DZ78" s="4">
        <f t="shared" si="5"/>
        <v>0</v>
      </c>
      <c r="EB78" s="4">
        <f t="shared" si="5"/>
        <v>0</v>
      </c>
      <c r="EC78" s="4">
        <f t="shared" si="5"/>
        <v>0</v>
      </c>
      <c r="ED78" s="4">
        <f t="shared" si="5"/>
        <v>0</v>
      </c>
      <c r="EE78" s="4">
        <f t="shared" si="5"/>
        <v>0</v>
      </c>
      <c r="EF78" s="4">
        <f t="shared" si="5"/>
        <v>0</v>
      </c>
      <c r="EG78" s="4">
        <f t="shared" si="5"/>
        <v>0</v>
      </c>
      <c r="EH78" s="4">
        <f t="shared" si="5"/>
        <v>0</v>
      </c>
      <c r="EI78" s="4">
        <f t="shared" si="5"/>
        <v>0</v>
      </c>
      <c r="EJ78" s="4">
        <f t="shared" si="5"/>
        <v>0</v>
      </c>
      <c r="EK78" s="4">
        <f t="shared" ref="EK78:GD78" si="6">SUM(EK47:EK77)</f>
        <v>0</v>
      </c>
      <c r="EL78" s="4">
        <f t="shared" si="6"/>
        <v>0</v>
      </c>
      <c r="EM78" s="4">
        <f t="shared" si="6"/>
        <v>0</v>
      </c>
      <c r="EN78" s="4">
        <f t="shared" si="6"/>
        <v>0</v>
      </c>
      <c r="EO78" s="4">
        <f t="shared" si="6"/>
        <v>0</v>
      </c>
      <c r="EP78" s="4">
        <f t="shared" si="6"/>
        <v>0</v>
      </c>
      <c r="EQ78" s="4">
        <f t="shared" si="6"/>
        <v>0</v>
      </c>
      <c r="ER78" s="4">
        <f t="shared" si="6"/>
        <v>0</v>
      </c>
      <c r="ES78" s="4">
        <f t="shared" si="6"/>
        <v>0</v>
      </c>
      <c r="ET78" s="4">
        <f t="shared" si="6"/>
        <v>0</v>
      </c>
      <c r="EU78" s="4">
        <f t="shared" si="6"/>
        <v>0</v>
      </c>
      <c r="EV78" s="4">
        <f t="shared" si="6"/>
        <v>0</v>
      </c>
      <c r="EW78" s="4">
        <f t="shared" si="6"/>
        <v>0</v>
      </c>
      <c r="EX78" s="4">
        <f t="shared" si="6"/>
        <v>0</v>
      </c>
      <c r="EY78" s="4">
        <f t="shared" si="6"/>
        <v>0</v>
      </c>
      <c r="EZ78" s="4">
        <f t="shared" si="6"/>
        <v>0</v>
      </c>
      <c r="FA78" s="4">
        <f t="shared" si="6"/>
        <v>0</v>
      </c>
      <c r="FB78" s="4">
        <f t="shared" si="6"/>
        <v>0</v>
      </c>
      <c r="FC78" s="4">
        <f t="shared" si="6"/>
        <v>0</v>
      </c>
      <c r="FD78" s="4">
        <f t="shared" si="6"/>
        <v>0</v>
      </c>
      <c r="FE78" s="4">
        <f t="shared" si="6"/>
        <v>0</v>
      </c>
      <c r="FF78" s="4">
        <f t="shared" si="6"/>
        <v>0</v>
      </c>
      <c r="FG78" s="4">
        <f t="shared" si="6"/>
        <v>0</v>
      </c>
      <c r="FH78" s="4">
        <f t="shared" si="6"/>
        <v>0</v>
      </c>
      <c r="FI78" s="4">
        <f t="shared" si="6"/>
        <v>0</v>
      </c>
      <c r="FJ78" s="4">
        <f t="shared" si="6"/>
        <v>0</v>
      </c>
      <c r="FK78" s="4">
        <f t="shared" si="6"/>
        <v>0</v>
      </c>
      <c r="FL78" s="4">
        <f t="shared" si="6"/>
        <v>0</v>
      </c>
      <c r="FM78" s="4">
        <f t="shared" si="6"/>
        <v>0</v>
      </c>
      <c r="FN78" s="4">
        <f t="shared" si="6"/>
        <v>0</v>
      </c>
      <c r="FO78" s="4">
        <f t="shared" si="6"/>
        <v>0</v>
      </c>
      <c r="FP78" s="4">
        <f t="shared" si="6"/>
        <v>0</v>
      </c>
      <c r="FQ78" s="4">
        <f t="shared" si="6"/>
        <v>0</v>
      </c>
      <c r="FR78" s="4">
        <f t="shared" si="6"/>
        <v>0</v>
      </c>
      <c r="FS78" s="4">
        <f t="shared" si="6"/>
        <v>0</v>
      </c>
      <c r="FT78" s="4">
        <f t="shared" si="6"/>
        <v>0</v>
      </c>
      <c r="FU78" s="4">
        <f t="shared" si="6"/>
        <v>0</v>
      </c>
      <c r="FV78" s="4">
        <f t="shared" si="6"/>
        <v>0</v>
      </c>
      <c r="FW78" s="4">
        <f t="shared" si="6"/>
        <v>0</v>
      </c>
      <c r="FX78" s="4">
        <f t="shared" si="6"/>
        <v>0</v>
      </c>
      <c r="FY78" s="4">
        <f t="shared" si="6"/>
        <v>0</v>
      </c>
      <c r="FZ78" s="4">
        <f t="shared" si="6"/>
        <v>0</v>
      </c>
      <c r="GA78" s="4">
        <f t="shared" si="6"/>
        <v>0</v>
      </c>
      <c r="GB78" s="4">
        <f t="shared" si="6"/>
        <v>0</v>
      </c>
      <c r="GC78" s="4">
        <f t="shared" si="6"/>
        <v>0</v>
      </c>
      <c r="GD78" s="4">
        <f t="shared" si="6"/>
        <v>0</v>
      </c>
    </row>
    <row r="79" spans="1:186" s="7" customFormat="1" x14ac:dyDescent="0.25">
      <c r="A79" s="11"/>
      <c r="B79" s="41"/>
      <c r="D79" s="11"/>
      <c r="E79" s="11"/>
      <c r="F79" s="11"/>
      <c r="G79" s="11"/>
      <c r="DS79" s="14"/>
      <c r="DT79" s="14"/>
      <c r="DU79" s="14"/>
    </row>
    <row r="80" spans="1:186" s="7" customFormat="1" x14ac:dyDescent="0.25">
      <c r="A80" s="11"/>
      <c r="B80" s="41"/>
      <c r="D80" s="11"/>
      <c r="E80" s="11"/>
      <c r="F80" s="11"/>
      <c r="G80" s="11"/>
      <c r="DS80" s="14"/>
      <c r="DT80" s="14"/>
      <c r="DU80" s="14"/>
    </row>
    <row r="81" spans="1:199" x14ac:dyDescent="0.25"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378" t="s">
        <v>205</v>
      </c>
      <c r="T81" s="378"/>
      <c r="U81" s="378"/>
      <c r="V81" s="378"/>
      <c r="W81" s="378"/>
      <c r="X81" s="378"/>
      <c r="Y81" s="378"/>
      <c r="Z81" s="378" t="s">
        <v>90</v>
      </c>
      <c r="AA81" s="378"/>
      <c r="AB81" s="378"/>
      <c r="AC81" s="378"/>
      <c r="AD81" s="378"/>
      <c r="AE81" s="378"/>
      <c r="AF81" s="378"/>
      <c r="AG81" s="378"/>
      <c r="AH81" s="378"/>
      <c r="AI81" s="378"/>
      <c r="AJ81" s="378"/>
      <c r="AK81" s="378"/>
      <c r="AL81" s="378"/>
      <c r="AM81" s="378"/>
      <c r="AN81" s="378"/>
      <c r="AO81" s="378"/>
      <c r="AP81" s="378"/>
      <c r="AQ81" s="378"/>
      <c r="AR81" s="378"/>
      <c r="AS81" s="378"/>
      <c r="AT81" s="378"/>
      <c r="AU81" s="378"/>
      <c r="AV81" s="378"/>
      <c r="AW81" s="378"/>
      <c r="AX81" s="378"/>
      <c r="AY81" s="378"/>
      <c r="AZ81" s="378"/>
      <c r="BA81" s="378"/>
      <c r="BB81" s="378"/>
      <c r="BC81" s="378"/>
      <c r="BD81" s="378"/>
      <c r="BE81" s="378"/>
      <c r="BF81" s="378"/>
      <c r="BG81" s="378"/>
      <c r="BH81" s="378"/>
      <c r="BI81" s="378" t="s">
        <v>77</v>
      </c>
      <c r="BJ81" s="378"/>
      <c r="BK81" s="378"/>
      <c r="BL81" s="378"/>
      <c r="BM81" s="378"/>
      <c r="BN81" s="378" t="s">
        <v>65</v>
      </c>
      <c r="BO81" s="378"/>
      <c r="BP81" s="378"/>
      <c r="BQ81" s="378" t="s">
        <v>15</v>
      </c>
      <c r="BR81" s="378"/>
      <c r="BS81" s="378"/>
      <c r="BT81" s="378"/>
      <c r="BU81" s="378"/>
      <c r="BV81" s="378"/>
      <c r="BW81" s="378"/>
      <c r="BX81" s="378"/>
      <c r="BY81" s="378"/>
      <c r="BZ81" s="378"/>
      <c r="CA81" s="378"/>
      <c r="CB81" s="378"/>
      <c r="CC81" s="378"/>
      <c r="CD81" s="378"/>
      <c r="CE81" s="378" t="s">
        <v>4</v>
      </c>
      <c r="CF81" s="378"/>
      <c r="CG81" s="378"/>
      <c r="CH81" s="378"/>
      <c r="CI81" s="378"/>
      <c r="CJ81" s="378"/>
      <c r="CK81" s="378"/>
      <c r="CL81" s="378"/>
      <c r="CM81" s="378"/>
      <c r="CN81" s="378"/>
      <c r="CO81" s="378" t="s">
        <v>21</v>
      </c>
      <c r="CP81" s="378"/>
      <c r="CQ81" s="378"/>
      <c r="CR81" s="378"/>
      <c r="CS81" s="378"/>
      <c r="CT81" s="378"/>
      <c r="CU81" s="378"/>
      <c r="CV81" s="378"/>
      <c r="CW81" s="378"/>
      <c r="CX81" s="378"/>
      <c r="CY81" s="378"/>
      <c r="CZ81" s="378"/>
      <c r="DA81" s="378"/>
      <c r="DB81" s="378"/>
      <c r="DC81" s="378"/>
      <c r="DD81" s="378"/>
      <c r="DE81" s="378"/>
      <c r="DF81" s="378"/>
      <c r="DG81" s="378"/>
      <c r="DH81" s="378"/>
      <c r="DI81" s="378"/>
      <c r="DK81" s="90"/>
      <c r="DL81" s="81"/>
      <c r="DM81" s="142"/>
      <c r="DN81" s="145"/>
      <c r="DO81" s="53"/>
      <c r="DP81" s="378" t="s">
        <v>317</v>
      </c>
      <c r="DQ81" s="378"/>
      <c r="DR81" s="378"/>
      <c r="DS81" s="378"/>
      <c r="DT81" s="378"/>
      <c r="DU81" s="378"/>
      <c r="DV81" s="378"/>
      <c r="DW81" s="378"/>
      <c r="DX81" s="378"/>
      <c r="DY81" s="378"/>
      <c r="DZ81" s="378"/>
      <c r="EA81" s="378"/>
      <c r="EB81" s="378"/>
      <c r="EC81" s="378"/>
      <c r="ED81" s="378"/>
      <c r="EE81" s="378"/>
      <c r="EF81" s="378"/>
      <c r="EG81" s="378"/>
      <c r="EH81" s="378"/>
      <c r="EI81" s="378"/>
      <c r="EJ81" s="378"/>
      <c r="EK81" s="378"/>
      <c r="EL81" s="378"/>
      <c r="EM81" s="378"/>
      <c r="EN81" s="378"/>
      <c r="EO81" s="378"/>
      <c r="EP81" s="378"/>
      <c r="EQ81" s="378"/>
      <c r="ER81" s="378"/>
      <c r="ES81" s="378"/>
      <c r="ET81" s="378"/>
      <c r="EU81" s="378"/>
      <c r="EV81" s="378"/>
      <c r="EW81" s="378"/>
      <c r="EX81" s="378"/>
      <c r="EY81" s="378"/>
      <c r="EZ81" s="378"/>
      <c r="FA81" s="378"/>
      <c r="FB81" s="378"/>
      <c r="FC81" s="378"/>
      <c r="FD81" s="378"/>
      <c r="FE81" s="378"/>
      <c r="FF81" s="378"/>
      <c r="FG81" s="378"/>
      <c r="FH81" s="378"/>
      <c r="FI81" s="378"/>
      <c r="FJ81" s="378"/>
      <c r="FK81" s="378"/>
    </row>
    <row r="82" spans="1:199" s="42" customFormat="1" x14ac:dyDescent="0.25">
      <c r="A82" s="195" t="s">
        <v>0</v>
      </c>
      <c r="B82" s="18" t="s">
        <v>5</v>
      </c>
      <c r="C82" s="42" t="s">
        <v>89</v>
      </c>
      <c r="D82" s="220" t="s">
        <v>95</v>
      </c>
      <c r="E82" s="247"/>
      <c r="F82" s="260"/>
      <c r="G82" s="260"/>
      <c r="H82" s="42" t="s">
        <v>28</v>
      </c>
      <c r="I82" s="214" t="s">
        <v>382</v>
      </c>
      <c r="J82" s="214" t="s">
        <v>2044</v>
      </c>
      <c r="K82" s="214" t="s">
        <v>2045</v>
      </c>
      <c r="L82" s="214" t="s">
        <v>2046</v>
      </c>
      <c r="M82" s="214" t="s">
        <v>1548</v>
      </c>
      <c r="N82" s="214" t="s">
        <v>1658</v>
      </c>
      <c r="O82" s="214" t="s">
        <v>1660</v>
      </c>
      <c r="P82" s="214" t="s">
        <v>1659</v>
      </c>
      <c r="Q82" s="214" t="s">
        <v>705</v>
      </c>
      <c r="R82" s="214" t="s">
        <v>1661</v>
      </c>
      <c r="S82" s="214" t="s">
        <v>93</v>
      </c>
      <c r="T82" s="214" t="s">
        <v>567</v>
      </c>
      <c r="U82" s="214" t="s">
        <v>1368</v>
      </c>
      <c r="V82" s="214" t="s">
        <v>353</v>
      </c>
      <c r="W82" s="214" t="s">
        <v>206</v>
      </c>
      <c r="X82" s="240" t="s">
        <v>2204</v>
      </c>
      <c r="Y82" s="214" t="s">
        <v>207</v>
      </c>
      <c r="Z82" s="42" t="s">
        <v>91</v>
      </c>
      <c r="AA82" s="42" t="s">
        <v>261</v>
      </c>
      <c r="AB82" s="97" t="s">
        <v>606</v>
      </c>
      <c r="AC82" s="128" t="s">
        <v>938</v>
      </c>
      <c r="AD82" s="97" t="s">
        <v>674</v>
      </c>
      <c r="AE82" s="175" t="s">
        <v>1565</v>
      </c>
      <c r="AF82" s="163" t="s">
        <v>1507</v>
      </c>
      <c r="AG82" s="70" t="s">
        <v>531</v>
      </c>
      <c r="AH82" s="70" t="s">
        <v>541</v>
      </c>
      <c r="AI82" s="53" t="s">
        <v>382</v>
      </c>
      <c r="AJ82" s="105" t="s">
        <v>708</v>
      </c>
      <c r="AK82" s="70" t="s">
        <v>553</v>
      </c>
      <c r="AL82" s="42" t="s">
        <v>93</v>
      </c>
      <c r="AM82" s="79"/>
      <c r="AN82" s="240" t="s">
        <v>2191</v>
      </c>
      <c r="AO82" s="126" t="s">
        <v>931</v>
      </c>
      <c r="AP82" s="175" t="s">
        <v>1566</v>
      </c>
      <c r="AQ82" s="88" t="s">
        <v>635</v>
      </c>
      <c r="AR82" s="156" t="s">
        <v>1425</v>
      </c>
      <c r="AS82" s="167" t="s">
        <v>1530</v>
      </c>
      <c r="AT82" s="192" t="s">
        <v>1732</v>
      </c>
      <c r="AU82" s="119" t="s">
        <v>895</v>
      </c>
      <c r="AV82" s="158" t="s">
        <v>1459</v>
      </c>
      <c r="AW82" s="145" t="s">
        <v>1240</v>
      </c>
      <c r="AX82" s="163" t="s">
        <v>1505</v>
      </c>
      <c r="AY82" s="70" t="s">
        <v>556</v>
      </c>
      <c r="AZ82" s="156" t="s">
        <v>1434</v>
      </c>
      <c r="BA82" s="89" t="s">
        <v>640</v>
      </c>
      <c r="BB82" s="70" t="s">
        <v>552</v>
      </c>
      <c r="BC82" s="70" t="s">
        <v>565</v>
      </c>
      <c r="BD82" s="89" t="s">
        <v>597</v>
      </c>
      <c r="BE82" s="74" t="s">
        <v>488</v>
      </c>
      <c r="BF82" s="89" t="s">
        <v>1247</v>
      </c>
      <c r="BG82" s="42" t="s">
        <v>242</v>
      </c>
      <c r="BH82" s="42" t="s">
        <v>92</v>
      </c>
      <c r="BI82" s="42" t="s">
        <v>80</v>
      </c>
      <c r="BJ82" s="156" t="s">
        <v>1430</v>
      </c>
      <c r="BK82" s="97" t="s">
        <v>256</v>
      </c>
      <c r="BL82" s="97" t="s">
        <v>673</v>
      </c>
      <c r="BM82" s="42" t="s">
        <v>81</v>
      </c>
      <c r="BN82" s="42" t="s">
        <v>80</v>
      </c>
      <c r="BO82" s="156" t="s">
        <v>1430</v>
      </c>
      <c r="BP82" s="42" t="s">
        <v>81</v>
      </c>
      <c r="BQ82" s="42" t="s">
        <v>226</v>
      </c>
      <c r="BR82" s="42" t="s">
        <v>69</v>
      </c>
      <c r="BS82" s="42" t="s">
        <v>84</v>
      </c>
      <c r="BT82" s="42" t="s">
        <v>76</v>
      </c>
      <c r="BU82" s="42" t="s">
        <v>38</v>
      </c>
      <c r="BV82" s="42" t="s">
        <v>271</v>
      </c>
      <c r="BW82" s="42" t="s">
        <v>34</v>
      </c>
      <c r="BX82" s="42" t="s">
        <v>35</v>
      </c>
      <c r="BY82" s="42" t="s">
        <v>6</v>
      </c>
      <c r="BZ82" s="42" t="s">
        <v>82</v>
      </c>
      <c r="CA82" s="42" t="s">
        <v>63</v>
      </c>
      <c r="CB82" s="42" t="s">
        <v>68</v>
      </c>
      <c r="CC82" s="42" t="s">
        <v>221</v>
      </c>
      <c r="CD82" s="42" t="s">
        <v>83</v>
      </c>
      <c r="CE82" s="42" t="s">
        <v>37</v>
      </c>
      <c r="CF82" s="42" t="s">
        <v>74</v>
      </c>
      <c r="CG82" s="42" t="s">
        <v>39</v>
      </c>
      <c r="CH82" s="42" t="s">
        <v>6</v>
      </c>
      <c r="CI82" s="42" t="s">
        <v>38</v>
      </c>
      <c r="CJ82" s="42" t="s">
        <v>78</v>
      </c>
      <c r="CK82" s="42" t="s">
        <v>79</v>
      </c>
      <c r="CL82" s="42" t="s">
        <v>59</v>
      </c>
      <c r="CM82" s="42" t="s">
        <v>36</v>
      </c>
      <c r="CN82" s="42" t="s">
        <v>63</v>
      </c>
      <c r="CO82" s="42" t="s">
        <v>38</v>
      </c>
      <c r="CP82" s="338"/>
      <c r="CQ82" s="347"/>
      <c r="CR82" s="146" t="s">
        <v>6</v>
      </c>
      <c r="CS82" s="53" t="s">
        <v>37</v>
      </c>
      <c r="CT82" s="144" t="s">
        <v>1186</v>
      </c>
      <c r="CU82" s="359"/>
      <c r="CV82" s="144" t="s">
        <v>1189</v>
      </c>
      <c r="CW82" s="42" t="s">
        <v>39</v>
      </c>
      <c r="CX82" s="168" t="s">
        <v>690</v>
      </c>
      <c r="CY82" s="42" t="s">
        <v>19</v>
      </c>
      <c r="CZ82" s="230" t="s">
        <v>2125</v>
      </c>
      <c r="DA82" s="42" t="s">
        <v>68</v>
      </c>
      <c r="DB82" s="42" t="s">
        <v>323</v>
      </c>
      <c r="DC82" s="42" t="s">
        <v>69</v>
      </c>
      <c r="DD82" s="197" t="s">
        <v>1776</v>
      </c>
      <c r="DE82" s="220" t="s">
        <v>2065</v>
      </c>
      <c r="DF82" s="53" t="s">
        <v>377</v>
      </c>
      <c r="DG82" s="163" t="s">
        <v>1514</v>
      </c>
      <c r="DH82" s="354"/>
      <c r="DI82" s="42" t="s">
        <v>62</v>
      </c>
      <c r="DJ82" s="90" t="s">
        <v>392</v>
      </c>
      <c r="DK82" s="240" t="s">
        <v>2190</v>
      </c>
      <c r="DL82" s="81"/>
      <c r="DM82" s="142" t="s">
        <v>1132</v>
      </c>
      <c r="DN82" s="145" t="s">
        <v>1248</v>
      </c>
      <c r="DO82" s="88" t="s">
        <v>634</v>
      </c>
      <c r="DP82" s="42" t="s">
        <v>306</v>
      </c>
      <c r="DQ82" s="119" t="s">
        <v>896</v>
      </c>
      <c r="DR82" s="36" t="s">
        <v>307</v>
      </c>
      <c r="DS82" s="238" t="s">
        <v>2141</v>
      </c>
      <c r="DT82" s="238" t="s">
        <v>2142</v>
      </c>
      <c r="DU82" s="238" t="s">
        <v>2143</v>
      </c>
      <c r="DV82" s="42" t="s">
        <v>69</v>
      </c>
      <c r="DW82" s="186" t="s">
        <v>1672</v>
      </c>
      <c r="DX82" s="42" t="s">
        <v>84</v>
      </c>
      <c r="DY82" s="105" t="s">
        <v>709</v>
      </c>
      <c r="DZ82" s="105" t="s">
        <v>710</v>
      </c>
      <c r="EA82" s="240" t="s">
        <v>2203</v>
      </c>
      <c r="EB82" s="223" t="s">
        <v>2093</v>
      </c>
      <c r="EC82" s="147" t="s">
        <v>1289</v>
      </c>
      <c r="ED82" s="121" t="s">
        <v>902</v>
      </c>
      <c r="EE82" s="105" t="s">
        <v>711</v>
      </c>
      <c r="EF82" s="89" t="s">
        <v>624</v>
      </c>
      <c r="EG82" s="105" t="s">
        <v>699</v>
      </c>
      <c r="EH82" s="74" t="s">
        <v>37</v>
      </c>
      <c r="EI82" s="223" t="s">
        <v>2089</v>
      </c>
      <c r="EJ82" s="42" t="s">
        <v>76</v>
      </c>
      <c r="EK82" s="42" t="s">
        <v>38</v>
      </c>
      <c r="EL82" s="89" t="s">
        <v>611</v>
      </c>
      <c r="EM82" s="89" t="s">
        <v>612</v>
      </c>
      <c r="EN82" s="89" t="s">
        <v>613</v>
      </c>
      <c r="EO82" s="89" t="s">
        <v>620</v>
      </c>
      <c r="EP82" s="74" t="s">
        <v>377</v>
      </c>
      <c r="EQ82" s="42" t="s">
        <v>271</v>
      </c>
      <c r="ER82" s="42" t="s">
        <v>34</v>
      </c>
      <c r="ES82" s="42" t="s">
        <v>35</v>
      </c>
      <c r="ET82" s="105" t="s">
        <v>713</v>
      </c>
      <c r="EU82" s="89" t="s">
        <v>621</v>
      </c>
      <c r="EV82" s="89" t="s">
        <v>622</v>
      </c>
      <c r="EW82" s="89" t="s">
        <v>623</v>
      </c>
      <c r="EX82" s="214" t="s">
        <v>2047</v>
      </c>
      <c r="EY82" s="42" t="s">
        <v>6</v>
      </c>
      <c r="EZ82" s="89" t="s">
        <v>603</v>
      </c>
      <c r="FA82" s="89" t="s">
        <v>618</v>
      </c>
      <c r="FB82" s="89" t="s">
        <v>1249</v>
      </c>
      <c r="FC82" s="42" t="s">
        <v>82</v>
      </c>
      <c r="FD82" s="89" t="s">
        <v>489</v>
      </c>
      <c r="FE82" s="42" t="s">
        <v>63</v>
      </c>
      <c r="FF82" s="42" t="s">
        <v>68</v>
      </c>
      <c r="FG82" s="53" t="s">
        <v>442</v>
      </c>
      <c r="FH82" s="154" t="s">
        <v>1371</v>
      </c>
      <c r="FI82" s="178" t="s">
        <v>1593</v>
      </c>
      <c r="FJ82" s="42" t="s">
        <v>221</v>
      </c>
      <c r="FK82" s="42" t="s">
        <v>83</v>
      </c>
      <c r="FL82" s="42" t="s">
        <v>19</v>
      </c>
      <c r="FM82" s="89" t="s">
        <v>614</v>
      </c>
      <c r="FN82" s="89" t="s">
        <v>617</v>
      </c>
      <c r="FO82" s="89" t="s">
        <v>616</v>
      </c>
      <c r="FP82" s="89" t="s">
        <v>615</v>
      </c>
      <c r="FQ82" s="89" t="s">
        <v>470</v>
      </c>
      <c r="FR82" s="53" t="s">
        <v>363</v>
      </c>
      <c r="FS82" s="55"/>
      <c r="FT82" s="97"/>
      <c r="FU82" s="55"/>
      <c r="FV82" s="89" t="s">
        <v>596</v>
      </c>
      <c r="FW82" s="53" t="s">
        <v>417</v>
      </c>
      <c r="FX82" s="70" t="s">
        <v>472</v>
      </c>
      <c r="FY82" s="126" t="s">
        <v>933</v>
      </c>
      <c r="FZ82" s="147" t="s">
        <v>1293</v>
      </c>
      <c r="GA82" s="184" t="s">
        <v>1654</v>
      </c>
      <c r="GB82" s="184" t="s">
        <v>1655</v>
      </c>
      <c r="GC82" s="190" t="s">
        <v>1726</v>
      </c>
      <c r="GD82" s="70" t="s">
        <v>566</v>
      </c>
      <c r="GE82" s="277"/>
      <c r="GG82" s="366"/>
      <c r="GH82" s="294"/>
      <c r="GI82" s="277"/>
      <c r="GQ82" s="314"/>
    </row>
    <row r="83" spans="1:199" s="7" customFormat="1" x14ac:dyDescent="0.25">
      <c r="A83" s="11" t="s">
        <v>97</v>
      </c>
      <c r="B83" s="18" t="s">
        <v>2</v>
      </c>
      <c r="C83" s="7">
        <f>C78</f>
        <v>52364</v>
      </c>
      <c r="D83" s="11"/>
      <c r="E83" s="11"/>
      <c r="F83" s="11"/>
      <c r="G83" s="11"/>
      <c r="AL83" s="7">
        <f>AL78</f>
        <v>5000</v>
      </c>
      <c r="DS83" s="14"/>
      <c r="DT83" s="14"/>
      <c r="DU83" s="14"/>
    </row>
    <row r="84" spans="1:199" x14ac:dyDescent="0.25">
      <c r="A84" s="195" t="s">
        <v>197</v>
      </c>
      <c r="B84" s="41" t="s">
        <v>12</v>
      </c>
      <c r="C84" s="24">
        <v>50000</v>
      </c>
      <c r="D84" s="220" t="s">
        <v>201</v>
      </c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I84" s="1">
        <v>-50000</v>
      </c>
    </row>
    <row r="85" spans="1:199" x14ac:dyDescent="0.25">
      <c r="A85" s="195" t="s">
        <v>197</v>
      </c>
      <c r="B85" s="18" t="s">
        <v>198</v>
      </c>
      <c r="C85" s="1">
        <v>-10000</v>
      </c>
      <c r="D85" s="220" t="s">
        <v>202</v>
      </c>
      <c r="W85" s="1">
        <v>10000</v>
      </c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</row>
    <row r="86" spans="1:199" x14ac:dyDescent="0.25">
      <c r="A86" s="195" t="s">
        <v>197</v>
      </c>
      <c r="B86" s="18" t="s">
        <v>199</v>
      </c>
      <c r="C86" s="1">
        <v>-3000</v>
      </c>
      <c r="D86" s="220" t="s">
        <v>203</v>
      </c>
      <c r="Y86" s="1">
        <v>3000</v>
      </c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</row>
    <row r="87" spans="1:199" x14ac:dyDescent="0.25">
      <c r="A87" s="195" t="s">
        <v>197</v>
      </c>
      <c r="B87" s="18" t="s">
        <v>269</v>
      </c>
      <c r="C87" s="1">
        <v>-5000</v>
      </c>
      <c r="D87" s="220" t="s">
        <v>204</v>
      </c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CB87" s="1">
        <v>5000</v>
      </c>
    </row>
    <row r="88" spans="1:199" x14ac:dyDescent="0.25">
      <c r="A88" s="195" t="s">
        <v>208</v>
      </c>
      <c r="B88" s="18" t="s">
        <v>155</v>
      </c>
      <c r="C88" s="24"/>
      <c r="D88" s="10" t="s">
        <v>209</v>
      </c>
      <c r="E88" s="248"/>
      <c r="F88" s="261"/>
      <c r="G88" s="261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>
        <v>-4475</v>
      </c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U88" s="1">
        <f>3715+120</f>
        <v>3835</v>
      </c>
      <c r="CA88" s="1">
        <v>640</v>
      </c>
    </row>
    <row r="89" spans="1:199" x14ac:dyDescent="0.25">
      <c r="A89" s="195" t="s">
        <v>208</v>
      </c>
      <c r="B89" s="18" t="s">
        <v>102</v>
      </c>
      <c r="C89" s="24">
        <v>525</v>
      </c>
      <c r="D89" s="220" t="s">
        <v>210</v>
      </c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>
        <v>-525</v>
      </c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</row>
    <row r="90" spans="1:199" x14ac:dyDescent="0.25">
      <c r="A90" s="195" t="s">
        <v>213</v>
      </c>
      <c r="B90" s="18" t="s">
        <v>214</v>
      </c>
      <c r="C90" s="24">
        <v>-493</v>
      </c>
      <c r="D90" s="220" t="s">
        <v>215</v>
      </c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U90" s="1">
        <v>493</v>
      </c>
    </row>
    <row r="91" spans="1:199" x14ac:dyDescent="0.25">
      <c r="A91" s="195" t="s">
        <v>213</v>
      </c>
      <c r="B91" s="18" t="s">
        <v>331</v>
      </c>
      <c r="C91" s="24">
        <v>-260</v>
      </c>
      <c r="D91" s="220" t="s">
        <v>216</v>
      </c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CA91" s="1">
        <v>260</v>
      </c>
    </row>
    <row r="92" spans="1:199" x14ac:dyDescent="0.25">
      <c r="A92" s="195" t="s">
        <v>213</v>
      </c>
      <c r="B92" s="18" t="s">
        <v>332</v>
      </c>
      <c r="C92" s="24">
        <v>-150</v>
      </c>
      <c r="D92" s="220" t="s">
        <v>217</v>
      </c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CY92" s="1">
        <v>150</v>
      </c>
    </row>
    <row r="93" spans="1:199" x14ac:dyDescent="0.25">
      <c r="A93" s="195" t="s">
        <v>213</v>
      </c>
      <c r="B93" s="18" t="s">
        <v>333</v>
      </c>
      <c r="C93" s="24">
        <v>-1450</v>
      </c>
      <c r="D93" s="220" t="s">
        <v>218</v>
      </c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CY93" s="1">
        <v>1450</v>
      </c>
    </row>
    <row r="94" spans="1:199" x14ac:dyDescent="0.25">
      <c r="A94" s="195" t="s">
        <v>219</v>
      </c>
      <c r="B94" s="41" t="s">
        <v>294</v>
      </c>
      <c r="C94" s="24">
        <v>750000</v>
      </c>
      <c r="D94" s="220" t="s">
        <v>228</v>
      </c>
      <c r="H94" s="1">
        <v>750000</v>
      </c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</row>
    <row r="95" spans="1:199" x14ac:dyDescent="0.25">
      <c r="A95" s="195" t="s">
        <v>219</v>
      </c>
      <c r="B95" s="18" t="s">
        <v>11</v>
      </c>
      <c r="C95" s="24">
        <v>-50000</v>
      </c>
      <c r="D95" s="220" t="s">
        <v>222</v>
      </c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N95" s="1">
        <v>50000</v>
      </c>
    </row>
    <row r="96" spans="1:199" x14ac:dyDescent="0.25">
      <c r="A96" s="195" t="s">
        <v>219</v>
      </c>
      <c r="B96" s="41" t="s">
        <v>223</v>
      </c>
      <c r="C96" s="24">
        <v>-20400</v>
      </c>
      <c r="D96" s="220" t="s">
        <v>224</v>
      </c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>
        <v>20400</v>
      </c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</row>
    <row r="97" spans="1:125" x14ac:dyDescent="0.25">
      <c r="A97" s="195" t="s">
        <v>219</v>
      </c>
      <c r="B97" s="41" t="s">
        <v>334</v>
      </c>
      <c r="C97" s="24">
        <v>-288350</v>
      </c>
      <c r="D97" s="220" t="s">
        <v>225</v>
      </c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Q97" s="1">
        <v>288350</v>
      </c>
    </row>
    <row r="98" spans="1:125" x14ac:dyDescent="0.25">
      <c r="A98" s="195" t="s">
        <v>219</v>
      </c>
      <c r="B98" s="41" t="s">
        <v>200</v>
      </c>
      <c r="C98" s="1">
        <v>-35000</v>
      </c>
      <c r="D98" s="220" t="s">
        <v>229</v>
      </c>
      <c r="S98" s="1">
        <v>35000</v>
      </c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</row>
    <row r="99" spans="1:125" x14ac:dyDescent="0.25">
      <c r="A99" s="195" t="s">
        <v>220</v>
      </c>
      <c r="B99" s="41" t="s">
        <v>230</v>
      </c>
      <c r="C99" s="24">
        <v>-2970</v>
      </c>
      <c r="D99" s="220" t="s">
        <v>231</v>
      </c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U99" s="1">
        <v>2970</v>
      </c>
    </row>
    <row r="100" spans="1:125" x14ac:dyDescent="0.25">
      <c r="A100" s="195" t="s">
        <v>220</v>
      </c>
      <c r="B100" s="41" t="s">
        <v>335</v>
      </c>
      <c r="C100" s="24">
        <v>-800</v>
      </c>
      <c r="D100" s="220" t="s">
        <v>232</v>
      </c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CA100" s="1">
        <v>800</v>
      </c>
    </row>
    <row r="101" spans="1:125" x14ac:dyDescent="0.25">
      <c r="A101" s="195" t="s">
        <v>220</v>
      </c>
      <c r="B101" s="41" t="s">
        <v>336</v>
      </c>
      <c r="C101" s="24">
        <v>-1200</v>
      </c>
      <c r="D101" s="220" t="s">
        <v>233</v>
      </c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X101" s="1">
        <v>1200</v>
      </c>
    </row>
    <row r="102" spans="1:125" x14ac:dyDescent="0.25">
      <c r="A102" s="195" t="s">
        <v>220</v>
      </c>
      <c r="B102" s="41" t="s">
        <v>223</v>
      </c>
      <c r="C102" s="24">
        <v>-12240</v>
      </c>
      <c r="D102" s="220" t="s">
        <v>234</v>
      </c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>
        <v>12240</v>
      </c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</row>
    <row r="103" spans="1:125" x14ac:dyDescent="0.25">
      <c r="A103" s="195" t="s">
        <v>235</v>
      </c>
      <c r="B103" s="18" t="s">
        <v>337</v>
      </c>
      <c r="C103" s="24">
        <v>-282000</v>
      </c>
      <c r="D103" s="220" t="s">
        <v>236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DC103" s="1">
        <v>282000</v>
      </c>
    </row>
    <row r="104" spans="1:125" s="4" customFormat="1" x14ac:dyDescent="0.25">
      <c r="A104" s="10" t="s">
        <v>235</v>
      </c>
      <c r="B104" s="32" t="s">
        <v>321</v>
      </c>
      <c r="C104" s="10">
        <v>-68190</v>
      </c>
      <c r="D104" s="10" t="s">
        <v>280</v>
      </c>
      <c r="E104" s="248"/>
      <c r="F104" s="261"/>
      <c r="G104" s="261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>
        <v>-32640</v>
      </c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T104" s="4">
        <v>21000</v>
      </c>
      <c r="BU104" s="4">
        <v>175</v>
      </c>
      <c r="BV104" s="4">
        <v>2000</v>
      </c>
      <c r="BX104" s="4">
        <v>9825</v>
      </c>
      <c r="BY104" s="4">
        <v>640</v>
      </c>
      <c r="CA104" s="4">
        <v>350</v>
      </c>
      <c r="CC104" s="4">
        <f>10000+13000+43000</f>
        <v>66000</v>
      </c>
      <c r="CI104" s="4">
        <v>840</v>
      </c>
      <c r="DS104" s="12"/>
      <c r="DT104" s="12"/>
      <c r="DU104" s="12"/>
    </row>
    <row r="105" spans="1:125" s="7" customFormat="1" x14ac:dyDescent="0.25">
      <c r="A105" s="11" t="s">
        <v>235</v>
      </c>
      <c r="B105" s="41" t="s">
        <v>346</v>
      </c>
      <c r="C105" s="11"/>
      <c r="D105" s="10" t="s">
        <v>249</v>
      </c>
      <c r="E105" s="248"/>
      <c r="F105" s="261"/>
      <c r="G105" s="261"/>
      <c r="S105" s="7">
        <v>-35000</v>
      </c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DC105" s="7">
        <v>35000</v>
      </c>
      <c r="DS105" s="14"/>
      <c r="DT105" s="14"/>
      <c r="DU105" s="14"/>
    </row>
    <row r="106" spans="1:125" s="7" customFormat="1" x14ac:dyDescent="0.25">
      <c r="A106" s="11" t="s">
        <v>235</v>
      </c>
      <c r="B106" s="41" t="s">
        <v>347</v>
      </c>
      <c r="C106" s="11"/>
      <c r="D106" s="10" t="s">
        <v>250</v>
      </c>
      <c r="E106" s="248"/>
      <c r="F106" s="261"/>
      <c r="G106" s="261"/>
      <c r="W106" s="7">
        <v>-10000</v>
      </c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DC106" s="7">
        <v>10000</v>
      </c>
      <c r="DS106" s="14"/>
      <c r="DT106" s="14"/>
      <c r="DU106" s="14"/>
    </row>
    <row r="107" spans="1:125" s="7" customFormat="1" x14ac:dyDescent="0.25">
      <c r="A107" s="11" t="s">
        <v>235</v>
      </c>
      <c r="B107" s="41" t="s">
        <v>348</v>
      </c>
      <c r="D107" s="10" t="s">
        <v>251</v>
      </c>
      <c r="E107" s="248"/>
      <c r="F107" s="261"/>
      <c r="G107" s="261"/>
      <c r="Y107" s="7">
        <v>-3000</v>
      </c>
      <c r="DC107" s="7">
        <v>3000</v>
      </c>
      <c r="DS107" s="14"/>
      <c r="DT107" s="14"/>
      <c r="DU107" s="14"/>
    </row>
    <row r="108" spans="1:125" x14ac:dyDescent="0.25">
      <c r="A108" s="195" t="s">
        <v>235</v>
      </c>
      <c r="B108" s="41" t="s">
        <v>295</v>
      </c>
      <c r="C108" s="24">
        <v>300000</v>
      </c>
      <c r="D108" s="220" t="s">
        <v>237</v>
      </c>
      <c r="H108" s="1">
        <v>300000</v>
      </c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</row>
    <row r="109" spans="1:125" x14ac:dyDescent="0.25">
      <c r="A109" s="195" t="s">
        <v>235</v>
      </c>
      <c r="B109" s="41" t="s">
        <v>238</v>
      </c>
      <c r="C109" s="24">
        <v>-40000</v>
      </c>
      <c r="D109" s="220" t="s">
        <v>239</v>
      </c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DI109" s="1">
        <v>40000</v>
      </c>
    </row>
    <row r="110" spans="1:125" s="4" customFormat="1" x14ac:dyDescent="0.25">
      <c r="A110" s="10" t="s">
        <v>240</v>
      </c>
      <c r="B110" s="32" t="s">
        <v>371</v>
      </c>
      <c r="C110" s="10">
        <v>-150000</v>
      </c>
      <c r="D110" s="10" t="s">
        <v>241</v>
      </c>
      <c r="E110" s="248"/>
      <c r="F110" s="261"/>
      <c r="G110" s="261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>
        <v>150000</v>
      </c>
      <c r="DS110" s="12"/>
      <c r="DT110" s="12"/>
      <c r="DU110" s="12"/>
    </row>
    <row r="111" spans="1:125" x14ac:dyDescent="0.25">
      <c r="A111" s="195" t="s">
        <v>243</v>
      </c>
      <c r="B111" s="41" t="s">
        <v>199</v>
      </c>
      <c r="C111" s="24">
        <v>-15000</v>
      </c>
      <c r="D111" s="220" t="s">
        <v>244</v>
      </c>
      <c r="Y111" s="1">
        <v>15000</v>
      </c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</row>
    <row r="112" spans="1:125" x14ac:dyDescent="0.25">
      <c r="A112" s="195" t="s">
        <v>243</v>
      </c>
      <c r="B112" s="41" t="s">
        <v>338</v>
      </c>
      <c r="C112" s="24">
        <v>-90</v>
      </c>
      <c r="D112" s="220" t="s">
        <v>245</v>
      </c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CY112" s="1">
        <v>90</v>
      </c>
    </row>
    <row r="113" spans="1:168" x14ac:dyDescent="0.25">
      <c r="A113" s="195" t="s">
        <v>246</v>
      </c>
      <c r="B113" s="18" t="s">
        <v>339</v>
      </c>
      <c r="C113" s="24">
        <v>-551</v>
      </c>
      <c r="D113" s="220" t="s">
        <v>247</v>
      </c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U113" s="1">
        <v>551</v>
      </c>
    </row>
    <row r="114" spans="1:168" x14ac:dyDescent="0.25">
      <c r="A114" s="195" t="s">
        <v>246</v>
      </c>
      <c r="B114" s="18" t="s">
        <v>340</v>
      </c>
      <c r="C114" s="24">
        <v>-140</v>
      </c>
      <c r="D114" s="220" t="s">
        <v>248</v>
      </c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CA114" s="1">
        <v>140</v>
      </c>
    </row>
    <row r="115" spans="1:168" x14ac:dyDescent="0.25">
      <c r="A115" s="195" t="s">
        <v>252</v>
      </c>
      <c r="B115" s="18" t="s">
        <v>253</v>
      </c>
      <c r="C115" s="10">
        <v>-100000</v>
      </c>
      <c r="D115" s="220" t="s">
        <v>259</v>
      </c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DJ115" s="1">
        <v>100000</v>
      </c>
    </row>
    <row r="116" spans="1:168" x14ac:dyDescent="0.25">
      <c r="A116" s="195" t="s">
        <v>252</v>
      </c>
      <c r="B116" s="18" t="s">
        <v>260</v>
      </c>
      <c r="C116" s="24">
        <v>-50000</v>
      </c>
      <c r="D116" s="220" t="s">
        <v>262</v>
      </c>
      <c r="Z116" s="14"/>
      <c r="AA116" s="14">
        <v>50000</v>
      </c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</row>
    <row r="117" spans="1:168" x14ac:dyDescent="0.25">
      <c r="A117" s="195" t="s">
        <v>263</v>
      </c>
      <c r="B117" s="41" t="s">
        <v>296</v>
      </c>
      <c r="C117" s="24">
        <v>200000</v>
      </c>
      <c r="D117" s="220" t="s">
        <v>264</v>
      </c>
      <c r="H117" s="1">
        <f>C117</f>
        <v>200000</v>
      </c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</row>
    <row r="118" spans="1:168" x14ac:dyDescent="0.25">
      <c r="A118" s="195" t="s">
        <v>263</v>
      </c>
      <c r="B118" s="18" t="s">
        <v>645</v>
      </c>
      <c r="C118" s="24">
        <v>-15000</v>
      </c>
      <c r="D118" s="220" t="s">
        <v>265</v>
      </c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DJ118" s="1">
        <v>15000</v>
      </c>
    </row>
    <row r="119" spans="1:168" x14ac:dyDescent="0.25">
      <c r="A119" s="195" t="s">
        <v>263</v>
      </c>
      <c r="B119" s="18" t="s">
        <v>647</v>
      </c>
      <c r="C119" s="24">
        <v>-1000</v>
      </c>
      <c r="D119" s="220" t="s">
        <v>266</v>
      </c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DJ119" s="1">
        <v>1000</v>
      </c>
    </row>
    <row r="120" spans="1:168" x14ac:dyDescent="0.25">
      <c r="A120" s="195" t="s">
        <v>263</v>
      </c>
      <c r="B120" s="18" t="s">
        <v>646</v>
      </c>
      <c r="C120" s="24">
        <v>-23000</v>
      </c>
      <c r="D120" s="220" t="s">
        <v>267</v>
      </c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DJ120" s="1">
        <v>23000</v>
      </c>
    </row>
    <row r="121" spans="1:168" x14ac:dyDescent="0.25">
      <c r="A121" s="195" t="s">
        <v>263</v>
      </c>
      <c r="B121" s="18" t="s">
        <v>279</v>
      </c>
      <c r="C121" s="24">
        <v>-120</v>
      </c>
      <c r="D121" s="220" t="s">
        <v>268</v>
      </c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CO121" s="1">
        <v>120</v>
      </c>
    </row>
    <row r="122" spans="1:168" x14ac:dyDescent="0.25">
      <c r="A122" s="195" t="s">
        <v>285</v>
      </c>
      <c r="B122" s="18" t="s">
        <v>260</v>
      </c>
      <c r="C122" s="24">
        <v>-8000</v>
      </c>
      <c r="D122" s="220" t="s">
        <v>304</v>
      </c>
      <c r="Z122" s="14"/>
      <c r="AA122" s="14">
        <v>8000</v>
      </c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</row>
    <row r="123" spans="1:168" s="4" customFormat="1" x14ac:dyDescent="0.25">
      <c r="A123" s="10" t="s">
        <v>297</v>
      </c>
      <c r="B123" s="32" t="s">
        <v>305</v>
      </c>
      <c r="C123" s="10">
        <v>-35098</v>
      </c>
      <c r="D123" s="10" t="s">
        <v>310</v>
      </c>
      <c r="E123" s="248"/>
      <c r="F123" s="261"/>
      <c r="G123" s="261"/>
      <c r="Z123" s="12"/>
      <c r="AA123" s="12">
        <v>-58000</v>
      </c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DP123" s="4">
        <f>38645+15721+13082+17200</f>
        <v>84648</v>
      </c>
      <c r="DR123" s="4">
        <v>8450</v>
      </c>
      <c r="DS123" s="12"/>
      <c r="DT123" s="12"/>
      <c r="DU123" s="12"/>
    </row>
    <row r="124" spans="1:168" x14ac:dyDescent="0.25">
      <c r="A124" s="195" t="s">
        <v>303</v>
      </c>
      <c r="B124" s="18" t="s">
        <v>341</v>
      </c>
      <c r="C124" s="24">
        <v>-160</v>
      </c>
      <c r="D124" s="220" t="s">
        <v>311</v>
      </c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CO124" s="1">
        <v>160</v>
      </c>
    </row>
    <row r="125" spans="1:168" x14ac:dyDescent="0.25">
      <c r="A125" s="195" t="s">
        <v>303</v>
      </c>
      <c r="B125" s="18" t="s">
        <v>342</v>
      </c>
      <c r="C125" s="24">
        <v>-120</v>
      </c>
      <c r="D125" s="220" t="s">
        <v>312</v>
      </c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CN125" s="1">
        <v>120</v>
      </c>
    </row>
    <row r="126" spans="1:168" x14ac:dyDescent="0.25">
      <c r="A126" s="195" t="s">
        <v>315</v>
      </c>
      <c r="B126" s="18" t="s">
        <v>200</v>
      </c>
      <c r="C126" s="24">
        <v>-5000</v>
      </c>
      <c r="D126" s="220" t="s">
        <v>316</v>
      </c>
      <c r="S126" s="1">
        <v>5000</v>
      </c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</row>
    <row r="127" spans="1:168" x14ac:dyDescent="0.25">
      <c r="A127" s="195" t="s">
        <v>315</v>
      </c>
      <c r="B127" s="18" t="s">
        <v>343</v>
      </c>
      <c r="C127" s="24">
        <v>-345</v>
      </c>
      <c r="D127" s="220" t="s">
        <v>318</v>
      </c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FL127" s="1">
        <v>345</v>
      </c>
    </row>
    <row r="128" spans="1:168" x14ac:dyDescent="0.25">
      <c r="A128" s="195" t="s">
        <v>315</v>
      </c>
      <c r="B128" s="18" t="s">
        <v>660</v>
      </c>
      <c r="C128" s="24">
        <v>-9000</v>
      </c>
      <c r="D128" s="220" t="s">
        <v>319</v>
      </c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EJ128" s="1">
        <v>9000</v>
      </c>
    </row>
    <row r="129" spans="1:199" x14ac:dyDescent="0.25">
      <c r="A129" s="195" t="s">
        <v>315</v>
      </c>
      <c r="B129" s="18" t="s">
        <v>344</v>
      </c>
      <c r="C129" s="24">
        <v>-167</v>
      </c>
      <c r="D129" s="220" t="s">
        <v>320</v>
      </c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EY129" s="1">
        <v>167</v>
      </c>
    </row>
    <row r="130" spans="1:199" x14ac:dyDescent="0.25">
      <c r="A130" s="195" t="s">
        <v>315</v>
      </c>
      <c r="B130" s="18" t="s">
        <v>345</v>
      </c>
      <c r="C130" s="37">
        <v>-38000</v>
      </c>
      <c r="D130" s="220" t="s">
        <v>322</v>
      </c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DB130" s="1">
        <v>38000</v>
      </c>
    </row>
    <row r="131" spans="1:199" x14ac:dyDescent="0.25">
      <c r="A131" s="195" t="s">
        <v>324</v>
      </c>
      <c r="B131" s="18" t="s">
        <v>610</v>
      </c>
      <c r="C131" s="38">
        <v>-6000</v>
      </c>
      <c r="D131" s="220" t="s">
        <v>325</v>
      </c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">
        <v>6000</v>
      </c>
    </row>
    <row r="132" spans="1:199" x14ac:dyDescent="0.25">
      <c r="A132" s="195" t="s">
        <v>324</v>
      </c>
      <c r="B132" s="18" t="s">
        <v>326</v>
      </c>
      <c r="C132" s="40">
        <v>-400</v>
      </c>
      <c r="D132" s="220" t="s">
        <v>327</v>
      </c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CO132" s="1">
        <v>400</v>
      </c>
    </row>
    <row r="133" spans="1:199" s="4" customFormat="1" x14ac:dyDescent="0.25">
      <c r="A133" s="10"/>
      <c r="B133" s="32"/>
      <c r="C133" s="10">
        <f>SUM(C83:C132)</f>
        <v>74195</v>
      </c>
      <c r="D133" s="242">
        <f t="shared" ref="D133:BS133" si="7">SUM(D83:D132)</f>
        <v>0</v>
      </c>
      <c r="E133" s="248"/>
      <c r="F133" s="261"/>
      <c r="G133" s="261"/>
      <c r="H133" s="242">
        <f t="shared" si="7"/>
        <v>1250000</v>
      </c>
      <c r="I133" s="242">
        <f t="shared" si="7"/>
        <v>0</v>
      </c>
      <c r="J133" s="242">
        <f t="shared" si="7"/>
        <v>0</v>
      </c>
      <c r="K133" s="242">
        <f t="shared" si="7"/>
        <v>0</v>
      </c>
      <c r="L133" s="242">
        <f t="shared" si="7"/>
        <v>0</v>
      </c>
      <c r="M133" s="242">
        <f t="shared" si="7"/>
        <v>0</v>
      </c>
      <c r="N133" s="242">
        <f t="shared" si="7"/>
        <v>0</v>
      </c>
      <c r="O133" s="242">
        <f t="shared" si="7"/>
        <v>0</v>
      </c>
      <c r="P133" s="242">
        <f t="shared" si="7"/>
        <v>0</v>
      </c>
      <c r="Q133" s="242">
        <f t="shared" si="7"/>
        <v>0</v>
      </c>
      <c r="R133" s="242">
        <f t="shared" si="7"/>
        <v>0</v>
      </c>
      <c r="S133" s="242">
        <f t="shared" si="7"/>
        <v>5000</v>
      </c>
      <c r="T133" s="242">
        <f t="shared" si="7"/>
        <v>0</v>
      </c>
      <c r="U133" s="242">
        <f t="shared" si="7"/>
        <v>0</v>
      </c>
      <c r="V133" s="242">
        <f t="shared" si="7"/>
        <v>0</v>
      </c>
      <c r="W133" s="242">
        <f t="shared" si="7"/>
        <v>0</v>
      </c>
      <c r="X133" s="242"/>
      <c r="Y133" s="242">
        <f t="shared" si="7"/>
        <v>15000</v>
      </c>
      <c r="Z133" s="242">
        <f t="shared" si="7"/>
        <v>0</v>
      </c>
      <c r="AA133" s="242">
        <f t="shared" si="7"/>
        <v>0</v>
      </c>
      <c r="AB133" s="242">
        <f t="shared" si="7"/>
        <v>0</v>
      </c>
      <c r="AC133" s="242">
        <f t="shared" si="7"/>
        <v>0</v>
      </c>
      <c r="AD133" s="242">
        <f t="shared" si="7"/>
        <v>0</v>
      </c>
      <c r="AE133" s="242">
        <f t="shared" si="7"/>
        <v>0</v>
      </c>
      <c r="AF133" s="242">
        <f t="shared" si="7"/>
        <v>0</v>
      </c>
      <c r="AG133" s="242">
        <f t="shared" si="7"/>
        <v>0</v>
      </c>
      <c r="AH133" s="242">
        <f t="shared" si="7"/>
        <v>0</v>
      </c>
      <c r="AI133" s="242">
        <f t="shared" si="7"/>
        <v>0</v>
      </c>
      <c r="AJ133" s="242">
        <f t="shared" si="7"/>
        <v>0</v>
      </c>
      <c r="AK133" s="242">
        <f t="shared" si="7"/>
        <v>0</v>
      </c>
      <c r="AL133" s="242">
        <f t="shared" si="7"/>
        <v>0</v>
      </c>
      <c r="AM133" s="242">
        <f t="shared" si="7"/>
        <v>0</v>
      </c>
      <c r="AN133" s="242">
        <f t="shared" si="7"/>
        <v>0</v>
      </c>
      <c r="AO133" s="242">
        <f t="shared" si="7"/>
        <v>0</v>
      </c>
      <c r="AP133" s="242">
        <f t="shared" si="7"/>
        <v>0</v>
      </c>
      <c r="AQ133" s="242">
        <f t="shared" si="7"/>
        <v>0</v>
      </c>
      <c r="AR133" s="242">
        <f t="shared" si="7"/>
        <v>0</v>
      </c>
      <c r="AS133" s="242">
        <f t="shared" si="7"/>
        <v>0</v>
      </c>
      <c r="AT133" s="242">
        <f t="shared" si="7"/>
        <v>0</v>
      </c>
      <c r="AU133" s="242">
        <f t="shared" si="7"/>
        <v>0</v>
      </c>
      <c r="AV133" s="242">
        <f t="shared" si="7"/>
        <v>0</v>
      </c>
      <c r="AW133" s="242">
        <f t="shared" si="7"/>
        <v>0</v>
      </c>
      <c r="AX133" s="242">
        <f t="shared" si="7"/>
        <v>0</v>
      </c>
      <c r="AY133" s="242">
        <f t="shared" si="7"/>
        <v>0</v>
      </c>
      <c r="AZ133" s="242">
        <f t="shared" si="7"/>
        <v>0</v>
      </c>
      <c r="BA133" s="242">
        <f t="shared" si="7"/>
        <v>0</v>
      </c>
      <c r="BB133" s="242">
        <f t="shared" si="7"/>
        <v>0</v>
      </c>
      <c r="BC133" s="242">
        <f t="shared" si="7"/>
        <v>0</v>
      </c>
      <c r="BD133" s="242">
        <f t="shared" si="7"/>
        <v>0</v>
      </c>
      <c r="BE133" s="242">
        <f t="shared" si="7"/>
        <v>0</v>
      </c>
      <c r="BF133" s="242">
        <f t="shared" si="7"/>
        <v>0</v>
      </c>
      <c r="BG133" s="242">
        <f t="shared" si="7"/>
        <v>150000</v>
      </c>
      <c r="BH133" s="242">
        <f t="shared" si="7"/>
        <v>6000</v>
      </c>
      <c r="BI133" s="242">
        <f t="shared" si="7"/>
        <v>-50000</v>
      </c>
      <c r="BJ133" s="242">
        <f t="shared" si="7"/>
        <v>0</v>
      </c>
      <c r="BK133" s="242">
        <f t="shared" si="7"/>
        <v>0</v>
      </c>
      <c r="BL133" s="242">
        <f t="shared" si="7"/>
        <v>0</v>
      </c>
      <c r="BM133" s="242">
        <f t="shared" si="7"/>
        <v>0</v>
      </c>
      <c r="BN133" s="242">
        <f t="shared" si="7"/>
        <v>50000</v>
      </c>
      <c r="BO133" s="242">
        <f t="shared" si="7"/>
        <v>0</v>
      </c>
      <c r="BP133" s="242">
        <f t="shared" si="7"/>
        <v>0</v>
      </c>
      <c r="BQ133" s="242">
        <f t="shared" si="7"/>
        <v>288350</v>
      </c>
      <c r="BR133" s="242">
        <f t="shared" si="7"/>
        <v>0</v>
      </c>
      <c r="BS133" s="242">
        <f t="shared" si="7"/>
        <v>0</v>
      </c>
      <c r="BT133" s="242">
        <f t="shared" ref="BT133:EJ133" si="8">SUM(BT83:BT132)</f>
        <v>21000</v>
      </c>
      <c r="BU133" s="242">
        <f t="shared" si="8"/>
        <v>8024</v>
      </c>
      <c r="BV133" s="242">
        <f t="shared" si="8"/>
        <v>2000</v>
      </c>
      <c r="BW133" s="242">
        <f t="shared" si="8"/>
        <v>0</v>
      </c>
      <c r="BX133" s="242">
        <f t="shared" si="8"/>
        <v>11025</v>
      </c>
      <c r="BY133" s="242">
        <f t="shared" si="8"/>
        <v>640</v>
      </c>
      <c r="BZ133" s="242">
        <f t="shared" si="8"/>
        <v>0</v>
      </c>
      <c r="CA133" s="242">
        <f t="shared" si="8"/>
        <v>2190</v>
      </c>
      <c r="CB133" s="242">
        <f t="shared" si="8"/>
        <v>5000</v>
      </c>
      <c r="CC133" s="242">
        <f t="shared" si="8"/>
        <v>66000</v>
      </c>
      <c r="CD133" s="242">
        <f t="shared" si="8"/>
        <v>0</v>
      </c>
      <c r="CE133" s="242">
        <f t="shared" si="8"/>
        <v>0</v>
      </c>
      <c r="CF133" s="242">
        <f t="shared" si="8"/>
        <v>0</v>
      </c>
      <c r="CG133" s="242">
        <f t="shared" si="8"/>
        <v>0</v>
      </c>
      <c r="CH133" s="242">
        <f t="shared" si="8"/>
        <v>0</v>
      </c>
      <c r="CI133" s="242">
        <f t="shared" si="8"/>
        <v>840</v>
      </c>
      <c r="CJ133" s="242">
        <f t="shared" si="8"/>
        <v>0</v>
      </c>
      <c r="CK133" s="242">
        <f t="shared" si="8"/>
        <v>0</v>
      </c>
      <c r="CL133" s="242">
        <f t="shared" si="8"/>
        <v>0</v>
      </c>
      <c r="CM133" s="242">
        <f t="shared" si="8"/>
        <v>0</v>
      </c>
      <c r="CN133" s="242">
        <f t="shared" si="8"/>
        <v>120</v>
      </c>
      <c r="CO133" s="242">
        <f t="shared" si="8"/>
        <v>680</v>
      </c>
      <c r="CP133" s="337"/>
      <c r="CQ133" s="346"/>
      <c r="CR133" s="242">
        <f t="shared" si="8"/>
        <v>0</v>
      </c>
      <c r="CS133" s="242">
        <f t="shared" si="8"/>
        <v>0</v>
      </c>
      <c r="CT133" s="242">
        <f t="shared" si="8"/>
        <v>0</v>
      </c>
      <c r="CU133" s="358"/>
      <c r="CV133" s="242">
        <f t="shared" si="8"/>
        <v>0</v>
      </c>
      <c r="CW133" s="242">
        <f t="shared" si="8"/>
        <v>0</v>
      </c>
      <c r="CX133" s="242">
        <f t="shared" si="8"/>
        <v>0</v>
      </c>
      <c r="CY133" s="242">
        <f t="shared" si="8"/>
        <v>1690</v>
      </c>
      <c r="CZ133" s="242">
        <f t="shared" si="8"/>
        <v>0</v>
      </c>
      <c r="DA133" s="242">
        <f t="shared" si="8"/>
        <v>0</v>
      </c>
      <c r="DB133" s="242">
        <f t="shared" si="8"/>
        <v>38000</v>
      </c>
      <c r="DC133" s="242">
        <f t="shared" si="8"/>
        <v>330000</v>
      </c>
      <c r="DD133" s="242">
        <f t="shared" si="8"/>
        <v>0</v>
      </c>
      <c r="DE133" s="242">
        <f t="shared" si="8"/>
        <v>0</v>
      </c>
      <c r="DF133" s="242">
        <f t="shared" si="8"/>
        <v>0</v>
      </c>
      <c r="DG133" s="242">
        <f t="shared" si="8"/>
        <v>0</v>
      </c>
      <c r="DH133" s="353"/>
      <c r="DI133" s="242">
        <f t="shared" si="8"/>
        <v>40000</v>
      </c>
      <c r="DJ133" s="242">
        <f t="shared" si="8"/>
        <v>139000</v>
      </c>
      <c r="DK133" s="242">
        <f t="shared" si="8"/>
        <v>0</v>
      </c>
      <c r="DL133" s="242">
        <f t="shared" si="8"/>
        <v>0</v>
      </c>
      <c r="DM133" s="242">
        <f t="shared" si="8"/>
        <v>0</v>
      </c>
      <c r="DN133" s="242">
        <f t="shared" si="8"/>
        <v>0</v>
      </c>
      <c r="DO133" s="242">
        <f t="shared" si="8"/>
        <v>0</v>
      </c>
      <c r="DP133" s="242">
        <f t="shared" si="8"/>
        <v>84648</v>
      </c>
      <c r="DQ133" s="242">
        <f t="shared" si="8"/>
        <v>0</v>
      </c>
      <c r="DR133" s="242">
        <f t="shared" si="8"/>
        <v>8450</v>
      </c>
      <c r="DS133" s="242">
        <f t="shared" si="8"/>
        <v>0</v>
      </c>
      <c r="DT133" s="242">
        <f t="shared" si="8"/>
        <v>0</v>
      </c>
      <c r="DU133" s="242">
        <f t="shared" si="8"/>
        <v>0</v>
      </c>
      <c r="DV133" s="242">
        <f t="shared" si="8"/>
        <v>0</v>
      </c>
      <c r="DW133" s="242">
        <f t="shared" si="8"/>
        <v>0</v>
      </c>
      <c r="DX133" s="242">
        <f t="shared" si="8"/>
        <v>0</v>
      </c>
      <c r="DY133" s="242">
        <f t="shared" si="8"/>
        <v>0</v>
      </c>
      <c r="DZ133" s="242">
        <f t="shared" si="8"/>
        <v>0</v>
      </c>
      <c r="EA133" s="242"/>
      <c r="EB133" s="242">
        <f t="shared" si="8"/>
        <v>0</v>
      </c>
      <c r="EC133" s="242">
        <f t="shared" si="8"/>
        <v>0</v>
      </c>
      <c r="ED133" s="242">
        <f t="shared" si="8"/>
        <v>0</v>
      </c>
      <c r="EE133" s="242">
        <f t="shared" si="8"/>
        <v>0</v>
      </c>
      <c r="EF133" s="242">
        <f t="shared" si="8"/>
        <v>0</v>
      </c>
      <c r="EG133" s="242">
        <f t="shared" si="8"/>
        <v>0</v>
      </c>
      <c r="EH133" s="242">
        <f t="shared" si="8"/>
        <v>0</v>
      </c>
      <c r="EI133" s="242">
        <f t="shared" si="8"/>
        <v>0</v>
      </c>
      <c r="EJ133" s="242">
        <f t="shared" si="8"/>
        <v>9000</v>
      </c>
      <c r="EK133" s="242">
        <f t="shared" ref="EK133:GD133" si="9">SUM(EK83:EK132)</f>
        <v>0</v>
      </c>
      <c r="EL133" s="242">
        <f t="shared" si="9"/>
        <v>0</v>
      </c>
      <c r="EM133" s="242">
        <f t="shared" si="9"/>
        <v>0</v>
      </c>
      <c r="EN133" s="242">
        <f t="shared" si="9"/>
        <v>0</v>
      </c>
      <c r="EO133" s="242">
        <f t="shared" si="9"/>
        <v>0</v>
      </c>
      <c r="EP133" s="242">
        <f t="shared" si="9"/>
        <v>0</v>
      </c>
      <c r="EQ133" s="242">
        <f t="shared" si="9"/>
        <v>0</v>
      </c>
      <c r="ER133" s="242">
        <f t="shared" si="9"/>
        <v>0</v>
      </c>
      <c r="ES133" s="242">
        <f t="shared" si="9"/>
        <v>0</v>
      </c>
      <c r="ET133" s="242">
        <f t="shared" si="9"/>
        <v>0</v>
      </c>
      <c r="EU133" s="242">
        <f t="shared" si="9"/>
        <v>0</v>
      </c>
      <c r="EV133" s="242">
        <f t="shared" si="9"/>
        <v>0</v>
      </c>
      <c r="EW133" s="242">
        <f t="shared" si="9"/>
        <v>0</v>
      </c>
      <c r="EX133" s="242">
        <f t="shared" si="9"/>
        <v>0</v>
      </c>
      <c r="EY133" s="242">
        <f t="shared" si="9"/>
        <v>167</v>
      </c>
      <c r="EZ133" s="242">
        <f t="shared" si="9"/>
        <v>0</v>
      </c>
      <c r="FA133" s="242">
        <f t="shared" si="9"/>
        <v>0</v>
      </c>
      <c r="FB133" s="242">
        <f t="shared" si="9"/>
        <v>0</v>
      </c>
      <c r="FC133" s="242">
        <f t="shared" si="9"/>
        <v>0</v>
      </c>
      <c r="FD133" s="242">
        <f t="shared" si="9"/>
        <v>0</v>
      </c>
      <c r="FE133" s="242">
        <f t="shared" si="9"/>
        <v>0</v>
      </c>
      <c r="FF133" s="242">
        <f t="shared" si="9"/>
        <v>0</v>
      </c>
      <c r="FG133" s="242">
        <f t="shared" si="9"/>
        <v>0</v>
      </c>
      <c r="FH133" s="242">
        <f t="shared" si="9"/>
        <v>0</v>
      </c>
      <c r="FI133" s="242">
        <f t="shared" si="9"/>
        <v>0</v>
      </c>
      <c r="FJ133" s="242">
        <f t="shared" si="9"/>
        <v>0</v>
      </c>
      <c r="FK133" s="242">
        <f t="shared" si="9"/>
        <v>0</v>
      </c>
      <c r="FL133" s="242">
        <f t="shared" si="9"/>
        <v>345</v>
      </c>
      <c r="FM133" s="242">
        <f t="shared" si="9"/>
        <v>0</v>
      </c>
      <c r="FN133" s="242">
        <f t="shared" si="9"/>
        <v>0</v>
      </c>
      <c r="FO133" s="242">
        <f t="shared" si="9"/>
        <v>0</v>
      </c>
      <c r="FP133" s="242">
        <f t="shared" si="9"/>
        <v>0</v>
      </c>
      <c r="FQ133" s="242">
        <f t="shared" si="9"/>
        <v>0</v>
      </c>
      <c r="FR133" s="242">
        <f t="shared" si="9"/>
        <v>0</v>
      </c>
      <c r="FS133" s="242">
        <f t="shared" si="9"/>
        <v>0</v>
      </c>
      <c r="FT133" s="242">
        <f t="shared" si="9"/>
        <v>0</v>
      </c>
      <c r="FU133" s="242">
        <f t="shared" si="9"/>
        <v>0</v>
      </c>
      <c r="FV133" s="242">
        <f t="shared" si="9"/>
        <v>0</v>
      </c>
      <c r="FW133" s="242">
        <f t="shared" si="9"/>
        <v>0</v>
      </c>
      <c r="FX133" s="242">
        <f t="shared" si="9"/>
        <v>0</v>
      </c>
      <c r="FY133" s="242">
        <f t="shared" si="9"/>
        <v>0</v>
      </c>
      <c r="FZ133" s="242">
        <f t="shared" si="9"/>
        <v>0</v>
      </c>
      <c r="GA133" s="242">
        <f t="shared" si="9"/>
        <v>0</v>
      </c>
      <c r="GB133" s="242">
        <f t="shared" si="9"/>
        <v>0</v>
      </c>
      <c r="GC133" s="242">
        <f t="shared" si="9"/>
        <v>0</v>
      </c>
      <c r="GD133" s="242">
        <f t="shared" si="9"/>
        <v>0</v>
      </c>
      <c r="GE133" s="278"/>
    </row>
    <row r="134" spans="1:199" s="7" customFormat="1" x14ac:dyDescent="0.25">
      <c r="A134" s="11"/>
      <c r="B134" s="41"/>
      <c r="C134" s="11"/>
      <c r="D134" s="11"/>
      <c r="E134" s="11"/>
      <c r="F134" s="11"/>
      <c r="G134" s="11"/>
      <c r="DS134" s="14"/>
      <c r="DT134" s="14"/>
      <c r="DU134" s="14"/>
    </row>
    <row r="135" spans="1:199" s="7" customFormat="1" x14ac:dyDescent="0.25">
      <c r="A135" s="11"/>
      <c r="B135" s="41"/>
      <c r="C135" s="11"/>
      <c r="D135" s="11"/>
      <c r="E135" s="11"/>
      <c r="F135" s="11"/>
      <c r="G135" s="11"/>
      <c r="DS135" s="14"/>
      <c r="DT135" s="14"/>
      <c r="DU135" s="14"/>
    </row>
    <row r="136" spans="1:199" x14ac:dyDescent="0.25"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378" t="s">
        <v>205</v>
      </c>
      <c r="T136" s="378"/>
      <c r="U136" s="378"/>
      <c r="V136" s="378"/>
      <c r="W136" s="378"/>
      <c r="X136" s="378"/>
      <c r="Y136" s="378"/>
      <c r="Z136" s="378" t="s">
        <v>90</v>
      </c>
      <c r="AA136" s="378"/>
      <c r="AB136" s="378"/>
      <c r="AC136" s="378"/>
      <c r="AD136" s="378"/>
      <c r="AE136" s="378"/>
      <c r="AF136" s="378"/>
      <c r="AG136" s="378"/>
      <c r="AH136" s="378"/>
      <c r="AI136" s="378"/>
      <c r="AJ136" s="378"/>
      <c r="AK136" s="378"/>
      <c r="AL136" s="378"/>
      <c r="AM136" s="378"/>
      <c r="AN136" s="378"/>
      <c r="AO136" s="378"/>
      <c r="AP136" s="378"/>
      <c r="AQ136" s="378"/>
      <c r="AR136" s="378"/>
      <c r="AS136" s="378"/>
      <c r="AT136" s="378"/>
      <c r="AU136" s="378"/>
      <c r="AV136" s="378"/>
      <c r="AW136" s="378"/>
      <c r="AX136" s="378"/>
      <c r="AY136" s="378"/>
      <c r="AZ136" s="378"/>
      <c r="BA136" s="378"/>
      <c r="BB136" s="378"/>
      <c r="BC136" s="378"/>
      <c r="BD136" s="378"/>
      <c r="BE136" s="378"/>
      <c r="BF136" s="378"/>
      <c r="BG136" s="378"/>
      <c r="BH136" s="378"/>
      <c r="BI136" s="378" t="s">
        <v>77</v>
      </c>
      <c r="BJ136" s="378"/>
      <c r="BK136" s="378"/>
      <c r="BL136" s="378"/>
      <c r="BM136" s="378"/>
      <c r="BN136" s="378" t="s">
        <v>65</v>
      </c>
      <c r="BO136" s="378"/>
      <c r="BP136" s="378"/>
      <c r="BQ136" s="378" t="s">
        <v>15</v>
      </c>
      <c r="BR136" s="378"/>
      <c r="BS136" s="378"/>
      <c r="BT136" s="378"/>
      <c r="BU136" s="378"/>
      <c r="BV136" s="378"/>
      <c r="BW136" s="378"/>
      <c r="BX136" s="378"/>
      <c r="BY136" s="378"/>
      <c r="BZ136" s="378"/>
      <c r="CA136" s="378"/>
      <c r="CB136" s="378"/>
      <c r="CC136" s="378"/>
      <c r="CD136" s="378"/>
      <c r="CE136" s="378" t="s">
        <v>4</v>
      </c>
      <c r="CF136" s="378"/>
      <c r="CG136" s="378"/>
      <c r="CH136" s="378"/>
      <c r="CI136" s="378"/>
      <c r="CJ136" s="378"/>
      <c r="CK136" s="378"/>
      <c r="CL136" s="378"/>
      <c r="CM136" s="378"/>
      <c r="CN136" s="378"/>
      <c r="CO136" s="378" t="s">
        <v>21</v>
      </c>
      <c r="CP136" s="378"/>
      <c r="CQ136" s="378"/>
      <c r="CR136" s="378"/>
      <c r="CS136" s="378"/>
      <c r="CT136" s="378"/>
      <c r="CU136" s="378"/>
      <c r="CV136" s="378"/>
      <c r="CW136" s="378"/>
      <c r="CX136" s="378"/>
      <c r="CY136" s="378"/>
      <c r="CZ136" s="378"/>
      <c r="DA136" s="378"/>
      <c r="DB136" s="378"/>
      <c r="DC136" s="378"/>
      <c r="DD136" s="378"/>
      <c r="DE136" s="378"/>
      <c r="DF136" s="378"/>
      <c r="DG136" s="378"/>
      <c r="DH136" s="378"/>
      <c r="DI136" s="378"/>
      <c r="DK136" s="90"/>
      <c r="DL136" s="81"/>
      <c r="DM136" s="142"/>
      <c r="DN136" s="145"/>
      <c r="DO136" s="49"/>
      <c r="DP136" s="378" t="s">
        <v>317</v>
      </c>
      <c r="DQ136" s="378"/>
      <c r="DR136" s="378"/>
      <c r="DS136" s="378"/>
      <c r="DT136" s="378"/>
      <c r="DU136" s="378"/>
      <c r="DV136" s="378"/>
      <c r="DW136" s="378"/>
      <c r="DX136" s="378"/>
      <c r="DY136" s="378"/>
      <c r="DZ136" s="378"/>
      <c r="EA136" s="378"/>
      <c r="EB136" s="378"/>
      <c r="EC136" s="378"/>
      <c r="ED136" s="378"/>
      <c r="EE136" s="378"/>
      <c r="EF136" s="378"/>
      <c r="EG136" s="378"/>
      <c r="EH136" s="378"/>
      <c r="EI136" s="378"/>
      <c r="EJ136" s="378"/>
      <c r="EK136" s="378"/>
      <c r="EL136" s="378"/>
      <c r="EM136" s="378"/>
      <c r="EN136" s="378"/>
      <c r="EO136" s="378"/>
      <c r="EP136" s="378"/>
      <c r="EQ136" s="378"/>
      <c r="ER136" s="378"/>
      <c r="ES136" s="378"/>
      <c r="ET136" s="378"/>
      <c r="EU136" s="378"/>
      <c r="EV136" s="378"/>
      <c r="EW136" s="378"/>
      <c r="EX136" s="378"/>
      <c r="EY136" s="378"/>
      <c r="EZ136" s="378"/>
      <c r="FA136" s="378"/>
      <c r="FB136" s="378"/>
      <c r="FC136" s="378"/>
      <c r="FD136" s="378"/>
      <c r="FE136" s="378"/>
      <c r="FF136" s="378"/>
      <c r="FG136" s="378"/>
      <c r="FH136" s="378"/>
      <c r="FI136" s="378"/>
      <c r="FJ136" s="378"/>
      <c r="FK136" s="378"/>
      <c r="FL136" s="378"/>
      <c r="FM136" s="378"/>
      <c r="FN136" s="378"/>
      <c r="FO136" s="378"/>
      <c r="FP136" s="378"/>
      <c r="FQ136" s="378"/>
      <c r="FR136" s="378"/>
      <c r="FS136" s="378"/>
      <c r="FT136" s="378"/>
      <c r="FU136" s="378"/>
      <c r="FV136" s="378"/>
      <c r="FW136" s="378"/>
    </row>
    <row r="137" spans="1:199" s="42" customFormat="1" x14ac:dyDescent="0.25">
      <c r="A137" s="195" t="s">
        <v>0</v>
      </c>
      <c r="B137" s="18" t="s">
        <v>5</v>
      </c>
      <c r="C137" s="42" t="s">
        <v>89</v>
      </c>
      <c r="D137" s="220" t="s">
        <v>95</v>
      </c>
      <c r="E137" s="247"/>
      <c r="F137" s="260"/>
      <c r="G137" s="260"/>
      <c r="H137" s="42" t="s">
        <v>28</v>
      </c>
      <c r="I137" s="214" t="s">
        <v>382</v>
      </c>
      <c r="J137" s="214" t="s">
        <v>2044</v>
      </c>
      <c r="K137" s="214" t="s">
        <v>2045</v>
      </c>
      <c r="L137" s="214" t="s">
        <v>2046</v>
      </c>
      <c r="M137" s="214" t="s">
        <v>1548</v>
      </c>
      <c r="N137" s="214" t="s">
        <v>1658</v>
      </c>
      <c r="O137" s="214" t="s">
        <v>1660</v>
      </c>
      <c r="P137" s="214" t="s">
        <v>1659</v>
      </c>
      <c r="Q137" s="214" t="s">
        <v>705</v>
      </c>
      <c r="R137" s="214" t="s">
        <v>1661</v>
      </c>
      <c r="S137" s="214" t="s">
        <v>93</v>
      </c>
      <c r="T137" s="214" t="s">
        <v>567</v>
      </c>
      <c r="U137" s="214" t="s">
        <v>1368</v>
      </c>
      <c r="V137" s="214" t="s">
        <v>353</v>
      </c>
      <c r="W137" s="214" t="s">
        <v>206</v>
      </c>
      <c r="X137" s="240" t="s">
        <v>2204</v>
      </c>
      <c r="Y137" s="214" t="s">
        <v>207</v>
      </c>
      <c r="Z137" s="42" t="s">
        <v>91</v>
      </c>
      <c r="AA137" s="42" t="s">
        <v>261</v>
      </c>
      <c r="AB137" s="97" t="s">
        <v>606</v>
      </c>
      <c r="AC137" s="128" t="s">
        <v>938</v>
      </c>
      <c r="AD137" s="97" t="s">
        <v>674</v>
      </c>
      <c r="AE137" s="175" t="s">
        <v>1565</v>
      </c>
      <c r="AF137" s="163" t="s">
        <v>1507</v>
      </c>
      <c r="AG137" s="70" t="s">
        <v>531</v>
      </c>
      <c r="AH137" s="70" t="s">
        <v>541</v>
      </c>
      <c r="AI137" s="45" t="s">
        <v>382</v>
      </c>
      <c r="AJ137" s="105" t="s">
        <v>708</v>
      </c>
      <c r="AK137" s="70" t="s">
        <v>553</v>
      </c>
      <c r="AL137" s="42" t="s">
        <v>627</v>
      </c>
      <c r="AM137" s="79"/>
      <c r="AN137" s="240" t="s">
        <v>2191</v>
      </c>
      <c r="AO137" s="126" t="s">
        <v>931</v>
      </c>
      <c r="AP137" s="175" t="s">
        <v>1566</v>
      </c>
      <c r="AQ137" s="88" t="s">
        <v>635</v>
      </c>
      <c r="AR137" s="156" t="s">
        <v>1425</v>
      </c>
      <c r="AS137" s="167" t="s">
        <v>1530</v>
      </c>
      <c r="AT137" s="192" t="s">
        <v>1732</v>
      </c>
      <c r="AU137" s="119" t="s">
        <v>895</v>
      </c>
      <c r="AV137" s="158" t="s">
        <v>1459</v>
      </c>
      <c r="AW137" s="145" t="s">
        <v>1240</v>
      </c>
      <c r="AX137" s="163" t="s">
        <v>1505</v>
      </c>
      <c r="AY137" s="70" t="s">
        <v>556</v>
      </c>
      <c r="AZ137" s="156" t="s">
        <v>1434</v>
      </c>
      <c r="BA137" s="89" t="s">
        <v>640</v>
      </c>
      <c r="BB137" s="70" t="s">
        <v>552</v>
      </c>
      <c r="BC137" s="70" t="s">
        <v>565</v>
      </c>
      <c r="BD137" s="89" t="s">
        <v>597</v>
      </c>
      <c r="BE137" s="74" t="s">
        <v>488</v>
      </c>
      <c r="BF137" s="89" t="s">
        <v>1247</v>
      </c>
      <c r="BG137" s="42" t="s">
        <v>242</v>
      </c>
      <c r="BH137" s="42" t="s">
        <v>92</v>
      </c>
      <c r="BI137" s="42" t="s">
        <v>80</v>
      </c>
      <c r="BJ137" s="156" t="s">
        <v>1430</v>
      </c>
      <c r="BK137" s="97" t="s">
        <v>256</v>
      </c>
      <c r="BL137" s="97" t="s">
        <v>673</v>
      </c>
      <c r="BM137" s="42" t="s">
        <v>81</v>
      </c>
      <c r="BN137" s="42" t="s">
        <v>80</v>
      </c>
      <c r="BO137" s="156" t="s">
        <v>1430</v>
      </c>
      <c r="BP137" s="42" t="s">
        <v>81</v>
      </c>
      <c r="BQ137" s="42" t="s">
        <v>226</v>
      </c>
      <c r="BR137" s="42" t="s">
        <v>69</v>
      </c>
      <c r="BS137" s="42" t="s">
        <v>84</v>
      </c>
      <c r="BT137" s="42" t="s">
        <v>76</v>
      </c>
      <c r="BU137" s="42" t="s">
        <v>38</v>
      </c>
      <c r="BV137" s="42" t="s">
        <v>271</v>
      </c>
      <c r="BW137" s="42" t="s">
        <v>34</v>
      </c>
      <c r="BX137" s="42" t="s">
        <v>35</v>
      </c>
      <c r="BY137" s="42" t="s">
        <v>6</v>
      </c>
      <c r="BZ137" s="42" t="s">
        <v>82</v>
      </c>
      <c r="CA137" s="42" t="s">
        <v>63</v>
      </c>
      <c r="CB137" s="42" t="s">
        <v>68</v>
      </c>
      <c r="CC137" s="42" t="s">
        <v>221</v>
      </c>
      <c r="CD137" s="42" t="s">
        <v>83</v>
      </c>
      <c r="CE137" s="42" t="s">
        <v>37</v>
      </c>
      <c r="CF137" s="42" t="s">
        <v>74</v>
      </c>
      <c r="CG137" s="42" t="s">
        <v>39</v>
      </c>
      <c r="CH137" s="42" t="s">
        <v>6</v>
      </c>
      <c r="CI137" s="42" t="s">
        <v>38</v>
      </c>
      <c r="CJ137" s="42" t="s">
        <v>78</v>
      </c>
      <c r="CK137" s="42" t="s">
        <v>79</v>
      </c>
      <c r="CL137" s="42" t="s">
        <v>59</v>
      </c>
      <c r="CM137" s="42" t="s">
        <v>36</v>
      </c>
      <c r="CN137" s="42" t="s">
        <v>63</v>
      </c>
      <c r="CO137" s="42" t="s">
        <v>38</v>
      </c>
      <c r="CP137" s="338"/>
      <c r="CQ137" s="347"/>
      <c r="CR137" s="146" t="s">
        <v>6</v>
      </c>
      <c r="CS137" s="43" t="s">
        <v>37</v>
      </c>
      <c r="CT137" s="144" t="s">
        <v>1186</v>
      </c>
      <c r="CU137" s="359"/>
      <c r="CV137" s="144" t="s">
        <v>1189</v>
      </c>
      <c r="CW137" s="42" t="s">
        <v>39</v>
      </c>
      <c r="CX137" s="168" t="s">
        <v>690</v>
      </c>
      <c r="CY137" s="42" t="s">
        <v>19</v>
      </c>
      <c r="CZ137" s="230" t="s">
        <v>2125</v>
      </c>
      <c r="DA137" s="42" t="s">
        <v>374</v>
      </c>
      <c r="DB137" s="42" t="s">
        <v>323</v>
      </c>
      <c r="DC137" s="42" t="s">
        <v>69</v>
      </c>
      <c r="DD137" s="197" t="s">
        <v>1776</v>
      </c>
      <c r="DE137" s="220" t="s">
        <v>2065</v>
      </c>
      <c r="DF137" s="45" t="s">
        <v>377</v>
      </c>
      <c r="DG137" s="163" t="s">
        <v>1514</v>
      </c>
      <c r="DH137" s="354"/>
      <c r="DI137" s="42" t="s">
        <v>62</v>
      </c>
      <c r="DJ137" s="90" t="s">
        <v>392</v>
      </c>
      <c r="DK137" s="240" t="s">
        <v>2190</v>
      </c>
      <c r="DL137" s="81"/>
      <c r="DM137" s="142" t="s">
        <v>1132</v>
      </c>
      <c r="DN137" s="145" t="s">
        <v>1248</v>
      </c>
      <c r="DO137" s="88" t="s">
        <v>634</v>
      </c>
      <c r="DP137" s="42" t="s">
        <v>306</v>
      </c>
      <c r="DQ137" s="119" t="s">
        <v>896</v>
      </c>
      <c r="DR137" s="36" t="s">
        <v>307</v>
      </c>
      <c r="DS137" s="238" t="s">
        <v>2141</v>
      </c>
      <c r="DT137" s="238" t="s">
        <v>2142</v>
      </c>
      <c r="DU137" s="238" t="s">
        <v>2143</v>
      </c>
      <c r="DV137" s="42" t="s">
        <v>69</v>
      </c>
      <c r="DW137" s="186" t="s">
        <v>1672</v>
      </c>
      <c r="DX137" s="42" t="s">
        <v>84</v>
      </c>
      <c r="DY137" s="105" t="s">
        <v>709</v>
      </c>
      <c r="DZ137" s="105" t="s">
        <v>710</v>
      </c>
      <c r="EA137" s="240" t="s">
        <v>2203</v>
      </c>
      <c r="EB137" s="223" t="s">
        <v>2093</v>
      </c>
      <c r="EC137" s="147" t="s">
        <v>1289</v>
      </c>
      <c r="ED137" s="121" t="s">
        <v>902</v>
      </c>
      <c r="EE137" s="105" t="s">
        <v>711</v>
      </c>
      <c r="EF137" s="89" t="s">
        <v>624</v>
      </c>
      <c r="EG137" s="105" t="s">
        <v>699</v>
      </c>
      <c r="EH137" s="55" t="s">
        <v>37</v>
      </c>
      <c r="EI137" s="223" t="s">
        <v>2089</v>
      </c>
      <c r="EJ137" s="42" t="s">
        <v>76</v>
      </c>
      <c r="EK137" s="42" t="s">
        <v>38</v>
      </c>
      <c r="EL137" s="89" t="s">
        <v>611</v>
      </c>
      <c r="EM137" s="89" t="s">
        <v>612</v>
      </c>
      <c r="EN137" s="89" t="s">
        <v>613</v>
      </c>
      <c r="EO137" s="89" t="s">
        <v>620</v>
      </c>
      <c r="EP137" s="61" t="s">
        <v>377</v>
      </c>
      <c r="EQ137" s="42" t="s">
        <v>271</v>
      </c>
      <c r="ER137" s="42" t="s">
        <v>34</v>
      </c>
      <c r="ES137" s="42" t="s">
        <v>35</v>
      </c>
      <c r="ET137" s="105" t="s">
        <v>713</v>
      </c>
      <c r="EU137" s="89" t="s">
        <v>621</v>
      </c>
      <c r="EV137" s="89" t="s">
        <v>622</v>
      </c>
      <c r="EW137" s="89" t="s">
        <v>623</v>
      </c>
      <c r="EX137" s="214" t="s">
        <v>2047</v>
      </c>
      <c r="EY137" s="42" t="s">
        <v>6</v>
      </c>
      <c r="EZ137" s="89" t="s">
        <v>603</v>
      </c>
      <c r="FA137" s="89" t="s">
        <v>618</v>
      </c>
      <c r="FB137" s="89" t="s">
        <v>1249</v>
      </c>
      <c r="FC137" s="42" t="s">
        <v>82</v>
      </c>
      <c r="FD137" s="89" t="s">
        <v>489</v>
      </c>
      <c r="FE137" s="42" t="s">
        <v>63</v>
      </c>
      <c r="FF137" s="42" t="s">
        <v>68</v>
      </c>
      <c r="FG137" s="50" t="s">
        <v>512</v>
      </c>
      <c r="FH137" s="154" t="s">
        <v>1371</v>
      </c>
      <c r="FI137" s="178" t="s">
        <v>1593</v>
      </c>
      <c r="FJ137" s="42" t="s">
        <v>221</v>
      </c>
      <c r="FK137" s="42" t="s">
        <v>83</v>
      </c>
      <c r="FL137" s="42" t="s">
        <v>19</v>
      </c>
      <c r="FM137" s="89" t="s">
        <v>614</v>
      </c>
      <c r="FN137" s="89" t="s">
        <v>617</v>
      </c>
      <c r="FO137" s="89" t="s">
        <v>616</v>
      </c>
      <c r="FP137" s="89" t="s">
        <v>615</v>
      </c>
      <c r="FQ137" s="55" t="s">
        <v>470</v>
      </c>
      <c r="FR137" s="42" t="s">
        <v>363</v>
      </c>
      <c r="FS137" s="55" t="s">
        <v>489</v>
      </c>
      <c r="FT137" s="107" t="s">
        <v>676</v>
      </c>
      <c r="FU137" s="55" t="s">
        <v>490</v>
      </c>
      <c r="FV137" s="89" t="s">
        <v>596</v>
      </c>
      <c r="FW137" s="42" t="s">
        <v>417</v>
      </c>
      <c r="FX137" s="42" t="s">
        <v>472</v>
      </c>
      <c r="FY137" s="126" t="s">
        <v>933</v>
      </c>
      <c r="FZ137" s="147" t="s">
        <v>1293</v>
      </c>
      <c r="GA137" s="184" t="s">
        <v>1654</v>
      </c>
      <c r="GB137" s="184" t="s">
        <v>1655</v>
      </c>
      <c r="GC137" s="190" t="s">
        <v>1726</v>
      </c>
      <c r="GD137" s="70" t="s">
        <v>566</v>
      </c>
      <c r="GE137" s="277"/>
      <c r="GG137" s="366"/>
      <c r="GH137" s="294"/>
      <c r="GI137" s="277"/>
      <c r="GQ137" s="314"/>
    </row>
    <row r="138" spans="1:199" x14ac:dyDescent="0.25">
      <c r="A138" s="195" t="s">
        <v>328</v>
      </c>
      <c r="B138" s="18" t="s">
        <v>2</v>
      </c>
      <c r="C138" s="24">
        <f>C133</f>
        <v>74195</v>
      </c>
      <c r="S138" s="1">
        <f>S133</f>
        <v>5000</v>
      </c>
      <c r="Y138" s="1">
        <f>Y133</f>
        <v>15000</v>
      </c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>
        <f>BG133</f>
        <v>150000</v>
      </c>
      <c r="BH138" s="1">
        <f>BH133</f>
        <v>6000</v>
      </c>
      <c r="DP138" s="1">
        <f t="shared" ref="DP138:GD138" si="10">DP133</f>
        <v>84648</v>
      </c>
      <c r="DR138" s="1">
        <f t="shared" si="10"/>
        <v>8450</v>
      </c>
      <c r="DS138" s="65">
        <f t="shared" si="10"/>
        <v>0</v>
      </c>
      <c r="DX138" s="1">
        <f t="shared" si="10"/>
        <v>0</v>
      </c>
      <c r="EH138" s="1">
        <f t="shared" si="10"/>
        <v>0</v>
      </c>
      <c r="EJ138" s="1">
        <f t="shared" si="10"/>
        <v>9000</v>
      </c>
      <c r="EK138" s="1">
        <f t="shared" si="10"/>
        <v>0</v>
      </c>
      <c r="EL138" s="1">
        <f t="shared" si="10"/>
        <v>0</v>
      </c>
      <c r="EM138" s="1">
        <f t="shared" si="10"/>
        <v>0</v>
      </c>
      <c r="EN138" s="1">
        <f t="shared" si="10"/>
        <v>0</v>
      </c>
      <c r="EO138" s="1">
        <f t="shared" si="10"/>
        <v>0</v>
      </c>
      <c r="EP138" s="1">
        <f t="shared" si="10"/>
        <v>0</v>
      </c>
      <c r="EQ138" s="1">
        <f t="shared" si="10"/>
        <v>0</v>
      </c>
      <c r="ER138" s="1">
        <f t="shared" si="10"/>
        <v>0</v>
      </c>
      <c r="ES138" s="1">
        <f t="shared" si="10"/>
        <v>0</v>
      </c>
      <c r="EU138" s="1">
        <f t="shared" si="10"/>
        <v>0</v>
      </c>
      <c r="EV138" s="1">
        <f t="shared" si="10"/>
        <v>0</v>
      </c>
      <c r="EW138" s="1">
        <f t="shared" si="10"/>
        <v>0</v>
      </c>
      <c r="EY138" s="1">
        <f t="shared" si="10"/>
        <v>167</v>
      </c>
      <c r="EZ138" s="1">
        <f t="shared" si="10"/>
        <v>0</v>
      </c>
      <c r="FA138" s="1">
        <f t="shared" si="10"/>
        <v>0</v>
      </c>
      <c r="FB138" s="1">
        <f t="shared" si="10"/>
        <v>0</v>
      </c>
      <c r="FC138" s="1">
        <f t="shared" si="10"/>
        <v>0</v>
      </c>
      <c r="FD138" s="1">
        <f t="shared" si="10"/>
        <v>0</v>
      </c>
      <c r="FE138" s="1">
        <f t="shared" si="10"/>
        <v>0</v>
      </c>
      <c r="FF138" s="1">
        <f t="shared" si="10"/>
        <v>0</v>
      </c>
      <c r="FG138" s="1">
        <f t="shared" si="10"/>
        <v>0</v>
      </c>
      <c r="FJ138" s="1">
        <f t="shared" si="10"/>
        <v>0</v>
      </c>
      <c r="FK138" s="1">
        <f t="shared" si="10"/>
        <v>0</v>
      </c>
      <c r="FL138" s="1">
        <f t="shared" si="10"/>
        <v>345</v>
      </c>
      <c r="FM138" s="1">
        <f t="shared" si="10"/>
        <v>0</v>
      </c>
      <c r="FN138" s="1">
        <f t="shared" si="10"/>
        <v>0</v>
      </c>
      <c r="FO138" s="1">
        <f t="shared" si="10"/>
        <v>0</v>
      </c>
      <c r="FP138" s="1">
        <f t="shared" si="10"/>
        <v>0</v>
      </c>
      <c r="FQ138" s="1">
        <f t="shared" si="10"/>
        <v>0</v>
      </c>
      <c r="FR138" s="1">
        <f t="shared" si="10"/>
        <v>0</v>
      </c>
      <c r="FS138" s="1">
        <f t="shared" si="10"/>
        <v>0</v>
      </c>
      <c r="FU138" s="1">
        <f t="shared" si="10"/>
        <v>0</v>
      </c>
      <c r="FV138" s="1">
        <f t="shared" si="10"/>
        <v>0</v>
      </c>
      <c r="FW138" s="1">
        <f t="shared" si="10"/>
        <v>0</v>
      </c>
      <c r="FX138" s="1">
        <f t="shared" si="10"/>
        <v>0</v>
      </c>
      <c r="GD138" s="1">
        <f t="shared" si="10"/>
        <v>0</v>
      </c>
    </row>
    <row r="139" spans="1:199" x14ac:dyDescent="0.25">
      <c r="A139" s="195" t="s">
        <v>328</v>
      </c>
      <c r="B139" s="18" t="s">
        <v>349</v>
      </c>
      <c r="C139" s="24">
        <v>-4000</v>
      </c>
      <c r="D139" s="220" t="s">
        <v>351</v>
      </c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CS139" s="1">
        <v>4000</v>
      </c>
    </row>
    <row r="140" spans="1:199" x14ac:dyDescent="0.25">
      <c r="A140" s="195" t="s">
        <v>328</v>
      </c>
      <c r="B140" s="18" t="s">
        <v>350</v>
      </c>
      <c r="C140" s="24">
        <v>-15000</v>
      </c>
      <c r="D140" s="220" t="s">
        <v>352</v>
      </c>
      <c r="S140" s="1">
        <v>15000</v>
      </c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</row>
    <row r="141" spans="1:199" x14ac:dyDescent="0.25">
      <c r="A141" s="195" t="s">
        <v>354</v>
      </c>
      <c r="B141" s="18" t="s">
        <v>355</v>
      </c>
      <c r="C141" s="24">
        <v>-10000</v>
      </c>
      <c r="D141" s="220" t="s">
        <v>356</v>
      </c>
      <c r="V141" s="1">
        <v>10000</v>
      </c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</row>
    <row r="142" spans="1:199" s="14" customFormat="1" x14ac:dyDescent="0.25">
      <c r="A142" s="66" t="s">
        <v>354</v>
      </c>
      <c r="B142" s="224" t="s">
        <v>460</v>
      </c>
      <c r="C142" s="66">
        <v>-5100</v>
      </c>
      <c r="D142" s="66" t="s">
        <v>357</v>
      </c>
      <c r="E142" s="66"/>
      <c r="F142" s="66"/>
      <c r="G142" s="66"/>
      <c r="AL142" s="14">
        <v>5100</v>
      </c>
    </row>
    <row r="143" spans="1:199" x14ac:dyDescent="0.25">
      <c r="A143" s="195" t="s">
        <v>358</v>
      </c>
      <c r="B143" s="18" t="s">
        <v>359</v>
      </c>
      <c r="C143" s="24">
        <v>-1220</v>
      </c>
      <c r="D143" s="220" t="s">
        <v>364</v>
      </c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EK143" s="1">
        <v>1220</v>
      </c>
    </row>
    <row r="144" spans="1:199" x14ac:dyDescent="0.25">
      <c r="A144" s="195" t="s">
        <v>358</v>
      </c>
      <c r="B144" s="18" t="s">
        <v>360</v>
      </c>
      <c r="C144" s="24">
        <v>-4835</v>
      </c>
      <c r="D144" s="220" t="s">
        <v>365</v>
      </c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ES144" s="1">
        <v>4835</v>
      </c>
    </row>
    <row r="145" spans="1:174" x14ac:dyDescent="0.25">
      <c r="A145" s="195" t="s">
        <v>358</v>
      </c>
      <c r="B145" s="18" t="s">
        <v>361</v>
      </c>
      <c r="C145" s="24">
        <v>-700</v>
      </c>
      <c r="D145" s="220" t="s">
        <v>366</v>
      </c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FE145" s="1">
        <v>700</v>
      </c>
    </row>
    <row r="146" spans="1:174" x14ac:dyDescent="0.25">
      <c r="A146" s="195" t="s">
        <v>358</v>
      </c>
      <c r="B146" s="18" t="s">
        <v>362</v>
      </c>
      <c r="C146" s="24">
        <v>-2000</v>
      </c>
      <c r="D146" s="220" t="s">
        <v>367</v>
      </c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FR146" s="1">
        <v>2000</v>
      </c>
    </row>
    <row r="147" spans="1:174" x14ac:dyDescent="0.25">
      <c r="A147" s="195" t="s">
        <v>368</v>
      </c>
      <c r="B147" s="18" t="s">
        <v>369</v>
      </c>
      <c r="C147" s="24">
        <v>600000</v>
      </c>
      <c r="D147" s="220" t="s">
        <v>370</v>
      </c>
      <c r="H147" s="1">
        <v>600000</v>
      </c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</row>
    <row r="148" spans="1:174" s="7" customFormat="1" x14ac:dyDescent="0.25">
      <c r="A148" s="11" t="s">
        <v>368</v>
      </c>
      <c r="B148" s="41" t="s">
        <v>2064</v>
      </c>
      <c r="C148" s="11">
        <v>-259667</v>
      </c>
      <c r="D148" s="11" t="s">
        <v>396</v>
      </c>
      <c r="E148" s="11"/>
      <c r="F148" s="11"/>
      <c r="G148" s="11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DC148" s="7">
        <v>259667</v>
      </c>
      <c r="DS148" s="14"/>
      <c r="DT148" s="14"/>
      <c r="DU148" s="14"/>
    </row>
    <row r="149" spans="1:174" s="4" customFormat="1" x14ac:dyDescent="0.25">
      <c r="A149" s="10" t="s">
        <v>368</v>
      </c>
      <c r="B149" s="32" t="s">
        <v>473</v>
      </c>
      <c r="C149" s="10"/>
      <c r="D149" s="10" t="s">
        <v>481</v>
      </c>
      <c r="E149" s="248"/>
      <c r="F149" s="261"/>
      <c r="G149" s="261"/>
      <c r="S149" s="4">
        <v>-20000</v>
      </c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DC149" s="4">
        <v>20000</v>
      </c>
      <c r="DS149" s="12"/>
      <c r="DT149" s="12"/>
      <c r="DU149" s="12"/>
    </row>
    <row r="150" spans="1:174" s="4" customFormat="1" x14ac:dyDescent="0.25">
      <c r="A150" s="10" t="s">
        <v>368</v>
      </c>
      <c r="B150" s="32" t="s">
        <v>474</v>
      </c>
      <c r="C150" s="10"/>
      <c r="D150" s="10" t="s">
        <v>481</v>
      </c>
      <c r="E150" s="248"/>
      <c r="F150" s="261"/>
      <c r="G150" s="261"/>
      <c r="V150" s="4">
        <v>-10000</v>
      </c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DC150" s="4">
        <v>10000</v>
      </c>
      <c r="DS150" s="12"/>
      <c r="DT150" s="12"/>
      <c r="DU150" s="12"/>
    </row>
    <row r="151" spans="1:174" s="4" customFormat="1" x14ac:dyDescent="0.25">
      <c r="A151" s="10" t="s">
        <v>368</v>
      </c>
      <c r="B151" s="32" t="s">
        <v>475</v>
      </c>
      <c r="C151" s="10"/>
      <c r="D151" s="10" t="s">
        <v>481</v>
      </c>
      <c r="E151" s="248"/>
      <c r="F151" s="261"/>
      <c r="G151" s="261"/>
      <c r="Y151" s="4">
        <v>-15000</v>
      </c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DC151" s="4">
        <v>15000</v>
      </c>
      <c r="DS151" s="12"/>
      <c r="DT151" s="12"/>
      <c r="DU151" s="12"/>
    </row>
    <row r="152" spans="1:174" x14ac:dyDescent="0.25">
      <c r="A152" s="195" t="s">
        <v>368</v>
      </c>
      <c r="B152" s="18" t="s">
        <v>519</v>
      </c>
      <c r="C152" s="24">
        <v>-40000</v>
      </c>
      <c r="D152" s="220" t="s">
        <v>397</v>
      </c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DI152" s="1">
        <v>40000</v>
      </c>
    </row>
    <row r="153" spans="1:174" x14ac:dyDescent="0.25">
      <c r="A153" s="195" t="s">
        <v>372</v>
      </c>
      <c r="B153" s="18" t="s">
        <v>373</v>
      </c>
      <c r="C153" s="45">
        <v>-32000</v>
      </c>
      <c r="D153" s="220" t="s">
        <v>398</v>
      </c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DA153" s="1">
        <v>32000</v>
      </c>
    </row>
    <row r="154" spans="1:174" x14ac:dyDescent="0.25">
      <c r="A154" s="195" t="s">
        <v>372</v>
      </c>
      <c r="B154" s="18" t="s">
        <v>446</v>
      </c>
      <c r="C154" s="45">
        <f>-70000-10000</f>
        <v>-80000</v>
      </c>
      <c r="D154" s="220" t="s">
        <v>399</v>
      </c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>
        <v>80000</v>
      </c>
    </row>
    <row r="155" spans="1:174" x14ac:dyDescent="0.25">
      <c r="A155" s="195" t="s">
        <v>372</v>
      </c>
      <c r="B155" s="41" t="s">
        <v>741</v>
      </c>
      <c r="C155" s="45">
        <v>-20000</v>
      </c>
      <c r="D155" s="220" t="s">
        <v>400</v>
      </c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>
        <v>20000</v>
      </c>
      <c r="BB155" s="14"/>
      <c r="BC155" s="14"/>
      <c r="BD155" s="14"/>
      <c r="BE155" s="14"/>
      <c r="BF155" s="14"/>
      <c r="BG155" s="14"/>
    </row>
    <row r="156" spans="1:174" x14ac:dyDescent="0.25">
      <c r="A156" s="195" t="s">
        <v>372</v>
      </c>
      <c r="B156" s="18" t="s">
        <v>375</v>
      </c>
      <c r="C156" s="45">
        <v>-370</v>
      </c>
      <c r="D156" s="220" t="s">
        <v>401</v>
      </c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EY156" s="1">
        <v>370</v>
      </c>
    </row>
    <row r="157" spans="1:174" x14ac:dyDescent="0.25">
      <c r="A157" s="195" t="s">
        <v>372</v>
      </c>
      <c r="B157" s="18" t="s">
        <v>376</v>
      </c>
      <c r="C157" s="45">
        <v>-58</v>
      </c>
      <c r="D157" s="220" t="s">
        <v>402</v>
      </c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DF157" s="1">
        <v>58</v>
      </c>
    </row>
    <row r="158" spans="1:174" x14ac:dyDescent="0.25">
      <c r="A158" s="195" t="s">
        <v>372</v>
      </c>
      <c r="B158" s="18" t="s">
        <v>378</v>
      </c>
      <c r="C158" s="45">
        <v>-20</v>
      </c>
      <c r="D158" s="220" t="s">
        <v>403</v>
      </c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CO158" s="1">
        <v>20</v>
      </c>
    </row>
    <row r="159" spans="1:174" x14ac:dyDescent="0.25">
      <c r="A159" s="195" t="s">
        <v>372</v>
      </c>
      <c r="B159" s="18" t="s">
        <v>379</v>
      </c>
      <c r="C159" s="24">
        <v>-426</v>
      </c>
      <c r="D159" s="220" t="s">
        <v>404</v>
      </c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U159" s="1">
        <v>426</v>
      </c>
    </row>
    <row r="160" spans="1:174" x14ac:dyDescent="0.25">
      <c r="A160" s="195" t="s">
        <v>372</v>
      </c>
      <c r="B160" s="18" t="s">
        <v>380</v>
      </c>
      <c r="C160" s="24">
        <v>-100</v>
      </c>
      <c r="D160" s="220" t="s">
        <v>405</v>
      </c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CA160" s="1">
        <v>100</v>
      </c>
    </row>
    <row r="161" spans="1:155" x14ac:dyDescent="0.25">
      <c r="A161" s="195" t="s">
        <v>372</v>
      </c>
      <c r="B161" s="18" t="s">
        <v>628</v>
      </c>
      <c r="C161" s="24">
        <v>-5000</v>
      </c>
      <c r="D161" s="220" t="s">
        <v>406</v>
      </c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>
        <v>5000</v>
      </c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</row>
    <row r="162" spans="1:155" x14ac:dyDescent="0.25">
      <c r="A162" s="195" t="s">
        <v>372</v>
      </c>
      <c r="B162" s="18" t="s">
        <v>384</v>
      </c>
      <c r="C162" s="24">
        <v>-350</v>
      </c>
      <c r="D162" s="220" t="s">
        <v>407</v>
      </c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EY162" s="1">
        <v>350</v>
      </c>
    </row>
    <row r="163" spans="1:155" x14ac:dyDescent="0.25">
      <c r="A163" s="195" t="s">
        <v>372</v>
      </c>
      <c r="B163" s="18" t="s">
        <v>381</v>
      </c>
      <c r="C163" s="24">
        <v>-11000</v>
      </c>
      <c r="D163" s="220" t="s">
        <v>408</v>
      </c>
      <c r="Z163" s="14"/>
      <c r="AA163" s="14"/>
      <c r="AB163" s="14"/>
      <c r="AC163" s="14"/>
      <c r="AD163" s="14"/>
      <c r="AE163" s="14"/>
      <c r="AF163" s="14"/>
      <c r="AG163" s="14"/>
      <c r="AH163" s="14"/>
      <c r="AI163" s="14">
        <v>11000</v>
      </c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</row>
    <row r="164" spans="1:155" s="4" customFormat="1" x14ac:dyDescent="0.25">
      <c r="A164" s="10" t="s">
        <v>372</v>
      </c>
      <c r="B164" s="32" t="s">
        <v>383</v>
      </c>
      <c r="C164" s="10">
        <v>-160000</v>
      </c>
      <c r="D164" s="10" t="s">
        <v>409</v>
      </c>
      <c r="E164" s="248"/>
      <c r="F164" s="261"/>
      <c r="G164" s="261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4">
        <v>160000</v>
      </c>
      <c r="DS164" s="12"/>
      <c r="DT164" s="12"/>
      <c r="DU164" s="12"/>
    </row>
    <row r="165" spans="1:155" x14ac:dyDescent="0.25">
      <c r="A165" s="195" t="s">
        <v>386</v>
      </c>
      <c r="B165" s="18" t="s">
        <v>387</v>
      </c>
      <c r="C165" s="1">
        <v>-95</v>
      </c>
      <c r="D165" s="220" t="s">
        <v>410</v>
      </c>
      <c r="CO165" s="1">
        <v>95</v>
      </c>
    </row>
    <row r="166" spans="1:155" x14ac:dyDescent="0.25">
      <c r="A166" s="195" t="s">
        <v>386</v>
      </c>
      <c r="B166" s="18" t="s">
        <v>385</v>
      </c>
      <c r="C166" s="24">
        <v>300000</v>
      </c>
      <c r="D166" s="220" t="s">
        <v>411</v>
      </c>
      <c r="H166" s="1">
        <v>300000</v>
      </c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</row>
    <row r="167" spans="1:155" x14ac:dyDescent="0.25">
      <c r="A167" s="195" t="s">
        <v>388</v>
      </c>
      <c r="B167" s="18" t="s">
        <v>390</v>
      </c>
      <c r="C167" s="24">
        <v>-21000</v>
      </c>
      <c r="D167" s="220" t="s">
        <v>412</v>
      </c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T167" s="1">
        <v>21000</v>
      </c>
    </row>
    <row r="168" spans="1:155" x14ac:dyDescent="0.25">
      <c r="A168" s="195" t="s">
        <v>388</v>
      </c>
      <c r="B168" s="18" t="s">
        <v>391</v>
      </c>
      <c r="C168" s="24">
        <v>-5000</v>
      </c>
      <c r="D168" s="220" t="s">
        <v>413</v>
      </c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CB168" s="1">
        <v>5000</v>
      </c>
    </row>
    <row r="169" spans="1:155" x14ac:dyDescent="0.25">
      <c r="A169" s="195" t="s">
        <v>388</v>
      </c>
      <c r="B169" s="18" t="s">
        <v>389</v>
      </c>
      <c r="C169" s="24">
        <v>-420</v>
      </c>
      <c r="D169" s="220" t="s">
        <v>414</v>
      </c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Y169" s="1">
        <v>420</v>
      </c>
    </row>
    <row r="170" spans="1:155" s="58" customFormat="1" x14ac:dyDescent="0.25">
      <c r="A170" s="240" t="s">
        <v>388</v>
      </c>
      <c r="B170" s="84" t="s">
        <v>769</v>
      </c>
      <c r="C170" s="203">
        <v>1510</v>
      </c>
      <c r="D170" s="221" t="s">
        <v>482</v>
      </c>
      <c r="E170" s="249"/>
      <c r="F170" s="262"/>
      <c r="G170" s="262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8">
        <v>-160000</v>
      </c>
      <c r="DS170" s="56"/>
      <c r="DT170" s="56"/>
      <c r="DU170" s="56"/>
    </row>
    <row r="171" spans="1:155" s="7" customFormat="1" x14ac:dyDescent="0.25">
      <c r="A171" s="11"/>
      <c r="B171" s="41" t="s">
        <v>763</v>
      </c>
      <c r="C171" s="11"/>
      <c r="D171" s="11"/>
      <c r="E171" s="11"/>
      <c r="F171" s="11"/>
      <c r="G171" s="11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CN171" s="7">
        <f>400</f>
        <v>400</v>
      </c>
      <c r="DS171" s="14"/>
      <c r="DT171" s="14"/>
      <c r="DU171" s="14"/>
    </row>
    <row r="172" spans="1:155" s="7" customFormat="1" x14ac:dyDescent="0.25">
      <c r="A172" s="11"/>
      <c r="B172" s="41" t="s">
        <v>764</v>
      </c>
      <c r="C172" s="11"/>
      <c r="D172" s="11"/>
      <c r="E172" s="11"/>
      <c r="F172" s="11"/>
      <c r="G172" s="11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CW172" s="7">
        <f>300</f>
        <v>300</v>
      </c>
      <c r="DS172" s="14"/>
      <c r="DT172" s="14"/>
      <c r="DU172" s="14"/>
    </row>
    <row r="173" spans="1:155" s="7" customFormat="1" x14ac:dyDescent="0.25">
      <c r="A173" s="11"/>
      <c r="B173" s="41" t="s">
        <v>765</v>
      </c>
      <c r="C173" s="11"/>
      <c r="D173" s="11"/>
      <c r="E173" s="11"/>
      <c r="F173" s="11"/>
      <c r="G173" s="11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DK173" s="7">
        <f>142290</f>
        <v>142290</v>
      </c>
      <c r="DS173" s="14"/>
      <c r="DT173" s="14"/>
      <c r="DU173" s="14"/>
    </row>
    <row r="174" spans="1:155" s="7" customFormat="1" x14ac:dyDescent="0.25">
      <c r="A174" s="11"/>
      <c r="B174" s="41" t="s">
        <v>767</v>
      </c>
      <c r="C174" s="11"/>
      <c r="D174" s="11"/>
      <c r="E174" s="11"/>
      <c r="F174" s="11"/>
      <c r="G174" s="11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DK174" s="7">
        <f>1500</f>
        <v>1500</v>
      </c>
      <c r="DS174" s="14"/>
      <c r="DT174" s="14"/>
      <c r="DU174" s="14"/>
    </row>
    <row r="175" spans="1:155" s="7" customFormat="1" x14ac:dyDescent="0.25">
      <c r="A175" s="11"/>
      <c r="B175" s="41" t="s">
        <v>884</v>
      </c>
      <c r="C175" s="11"/>
      <c r="D175" s="11"/>
      <c r="E175" s="11"/>
      <c r="F175" s="11"/>
      <c r="G175" s="11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DK175" s="7">
        <f>4000</f>
        <v>4000</v>
      </c>
      <c r="DS175" s="14"/>
      <c r="DT175" s="14"/>
      <c r="DU175" s="14"/>
    </row>
    <row r="176" spans="1:155" s="7" customFormat="1" x14ac:dyDescent="0.25">
      <c r="A176" s="11"/>
      <c r="B176" s="41" t="s">
        <v>766</v>
      </c>
      <c r="C176" s="11"/>
      <c r="D176" s="11"/>
      <c r="E176" s="11"/>
      <c r="F176" s="11"/>
      <c r="G176" s="11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DK176" s="4">
        <f>10000</f>
        <v>10000</v>
      </c>
      <c r="DS176" s="14"/>
      <c r="DT176" s="14"/>
      <c r="DU176" s="14"/>
    </row>
    <row r="177" spans="1:179" x14ac:dyDescent="0.25">
      <c r="A177" s="195" t="s">
        <v>388</v>
      </c>
      <c r="B177" s="18" t="s">
        <v>395</v>
      </c>
      <c r="C177" s="24">
        <v>-10000</v>
      </c>
      <c r="D177" s="220" t="s">
        <v>415</v>
      </c>
      <c r="Y177" s="1">
        <v>10000</v>
      </c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</row>
    <row r="178" spans="1:179" x14ac:dyDescent="0.25">
      <c r="A178" s="195" t="s">
        <v>416</v>
      </c>
      <c r="B178" s="18" t="s">
        <v>434</v>
      </c>
      <c r="C178" s="46">
        <v>-30000</v>
      </c>
      <c r="D178" s="220" t="s">
        <v>422</v>
      </c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FW178" s="1">
        <v>30000</v>
      </c>
    </row>
    <row r="179" spans="1:179" x14ac:dyDescent="0.25">
      <c r="A179" s="195" t="s">
        <v>416</v>
      </c>
      <c r="B179" s="18" t="s">
        <v>419</v>
      </c>
      <c r="C179" s="46">
        <v>-600</v>
      </c>
      <c r="D179" s="220" t="s">
        <v>423</v>
      </c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EY179" s="1">
        <v>600</v>
      </c>
    </row>
    <row r="180" spans="1:179" s="4" customFormat="1" x14ac:dyDescent="0.25">
      <c r="A180" s="10" t="s">
        <v>416</v>
      </c>
      <c r="B180" s="32" t="s">
        <v>420</v>
      </c>
      <c r="C180" s="10">
        <v>-60000</v>
      </c>
      <c r="D180" s="10" t="s">
        <v>424</v>
      </c>
      <c r="E180" s="248"/>
      <c r="F180" s="261"/>
      <c r="G180" s="261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DS180" s="12"/>
      <c r="DT180" s="12"/>
      <c r="DU180" s="12"/>
      <c r="FJ180" s="4">
        <v>60000</v>
      </c>
    </row>
    <row r="181" spans="1:179" x14ac:dyDescent="0.25">
      <c r="A181" s="195" t="s">
        <v>416</v>
      </c>
      <c r="B181" s="18" t="s">
        <v>421</v>
      </c>
      <c r="C181" s="46">
        <v>-1200</v>
      </c>
      <c r="D181" s="220" t="s">
        <v>425</v>
      </c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EY181" s="1">
        <v>1200</v>
      </c>
    </row>
    <row r="182" spans="1:179" x14ac:dyDescent="0.25">
      <c r="A182" s="195" t="s">
        <v>416</v>
      </c>
      <c r="B182" s="18" t="s">
        <v>418</v>
      </c>
      <c r="C182" s="47">
        <v>-5000</v>
      </c>
      <c r="D182" s="220" t="s">
        <v>448</v>
      </c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FW182" s="1">
        <v>5000</v>
      </c>
    </row>
    <row r="183" spans="1:179" x14ac:dyDescent="0.25">
      <c r="A183" s="195" t="s">
        <v>416</v>
      </c>
      <c r="B183" s="18" t="s">
        <v>419</v>
      </c>
      <c r="C183" s="47">
        <v>-75</v>
      </c>
      <c r="D183" s="220" t="s">
        <v>449</v>
      </c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EY183" s="1">
        <v>75</v>
      </c>
    </row>
    <row r="184" spans="1:179" x14ac:dyDescent="0.25">
      <c r="A184" s="195" t="s">
        <v>429</v>
      </c>
      <c r="B184" s="18" t="s">
        <v>430</v>
      </c>
      <c r="C184" s="1">
        <v>-40600</v>
      </c>
      <c r="D184" s="220" t="s">
        <v>450</v>
      </c>
      <c r="DO184" s="1">
        <v>40600</v>
      </c>
    </row>
    <row r="185" spans="1:179" x14ac:dyDescent="0.25">
      <c r="A185" s="195" t="s">
        <v>435</v>
      </c>
      <c r="B185" s="18" t="s">
        <v>432</v>
      </c>
      <c r="C185" s="24">
        <v>250000</v>
      </c>
      <c r="D185" s="220" t="s">
        <v>451</v>
      </c>
      <c r="H185" s="1">
        <v>250000</v>
      </c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</row>
    <row r="186" spans="1:179" x14ac:dyDescent="0.25">
      <c r="A186" s="195" t="s">
        <v>435</v>
      </c>
      <c r="B186" s="18" t="s">
        <v>742</v>
      </c>
      <c r="C186" s="24">
        <v>-35000</v>
      </c>
      <c r="D186" s="220" t="s">
        <v>452</v>
      </c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>
        <v>35000</v>
      </c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</row>
    <row r="187" spans="1:179" s="7" customFormat="1" x14ac:dyDescent="0.25">
      <c r="A187" s="11" t="s">
        <v>435</v>
      </c>
      <c r="B187" s="41" t="s">
        <v>433</v>
      </c>
      <c r="C187" s="11">
        <v>-20000</v>
      </c>
      <c r="D187" s="11" t="s">
        <v>453</v>
      </c>
      <c r="E187" s="11"/>
      <c r="F187" s="11"/>
      <c r="G187" s="11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DS187" s="14"/>
      <c r="DT187" s="14"/>
      <c r="DU187" s="14"/>
      <c r="FW187" s="7">
        <v>20000</v>
      </c>
    </row>
    <row r="188" spans="1:179" s="7" customFormat="1" x14ac:dyDescent="0.25">
      <c r="A188" s="11" t="s">
        <v>435</v>
      </c>
      <c r="B188" s="41" t="s">
        <v>445</v>
      </c>
      <c r="C188" s="11">
        <v>-400</v>
      </c>
      <c r="D188" s="220" t="s">
        <v>454</v>
      </c>
      <c r="E188" s="247"/>
      <c r="F188" s="260"/>
      <c r="G188" s="260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DS188" s="14"/>
      <c r="DT188" s="14"/>
      <c r="DU188" s="14"/>
      <c r="EY188" s="7">
        <v>400</v>
      </c>
    </row>
    <row r="189" spans="1:179" x14ac:dyDescent="0.25">
      <c r="A189" s="195" t="s">
        <v>431</v>
      </c>
      <c r="B189" s="18" t="s">
        <v>830</v>
      </c>
      <c r="C189" s="50">
        <v>-44000</v>
      </c>
      <c r="D189" s="220" t="s">
        <v>455</v>
      </c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FG189" s="1">
        <v>44000</v>
      </c>
    </row>
    <row r="190" spans="1:179" x14ac:dyDescent="0.25">
      <c r="A190" s="195" t="s">
        <v>431</v>
      </c>
      <c r="B190" s="18" t="s">
        <v>443</v>
      </c>
      <c r="C190" s="50">
        <f>-35-40</f>
        <v>-75</v>
      </c>
      <c r="D190" s="220" t="s">
        <v>456</v>
      </c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CO190" s="1">
        <v>75</v>
      </c>
    </row>
    <row r="191" spans="1:179" x14ac:dyDescent="0.25">
      <c r="A191" s="195" t="s">
        <v>431</v>
      </c>
      <c r="B191" s="18" t="s">
        <v>444</v>
      </c>
      <c r="C191" s="50">
        <v>-200</v>
      </c>
      <c r="D191" s="220" t="s">
        <v>457</v>
      </c>
      <c r="CO191" s="1">
        <v>200</v>
      </c>
    </row>
    <row r="192" spans="1:179" x14ac:dyDescent="0.25">
      <c r="A192" s="195" t="s">
        <v>458</v>
      </c>
      <c r="B192" s="18" t="s">
        <v>629</v>
      </c>
      <c r="C192" s="1">
        <v>-5000</v>
      </c>
      <c r="D192" s="220" t="s">
        <v>509</v>
      </c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>
        <v>5000</v>
      </c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</row>
    <row r="193" spans="1:177" x14ac:dyDescent="0.25">
      <c r="A193" s="195" t="s">
        <v>458</v>
      </c>
      <c r="B193" s="18" t="s">
        <v>447</v>
      </c>
      <c r="C193" s="24">
        <v>-100</v>
      </c>
      <c r="D193" s="220" t="s">
        <v>459</v>
      </c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EY193" s="1">
        <v>100</v>
      </c>
    </row>
    <row r="194" spans="1:177" s="7" customFormat="1" x14ac:dyDescent="0.25">
      <c r="A194" s="11" t="s">
        <v>458</v>
      </c>
      <c r="B194" s="41" t="s">
        <v>743</v>
      </c>
      <c r="C194" s="11">
        <v>-15475</v>
      </c>
      <c r="D194" s="11" t="s">
        <v>510</v>
      </c>
      <c r="E194" s="11"/>
      <c r="F194" s="11"/>
      <c r="G194" s="11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>
        <v>-40100</v>
      </c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G194" s="14"/>
      <c r="DS194" s="14"/>
      <c r="DT194" s="14"/>
      <c r="DU194" s="14"/>
    </row>
    <row r="195" spans="1:177" s="7" customFormat="1" x14ac:dyDescent="0.25">
      <c r="A195" s="11"/>
      <c r="B195" s="41" t="s">
        <v>744</v>
      </c>
      <c r="C195" s="11"/>
      <c r="D195" s="11"/>
      <c r="E195" s="11"/>
      <c r="F195" s="11"/>
      <c r="G195" s="11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E195" s="7">
        <v>22000</v>
      </c>
      <c r="BG195" s="14"/>
      <c r="DS195" s="14"/>
      <c r="DT195" s="14"/>
      <c r="DU195" s="14"/>
    </row>
    <row r="196" spans="1:177" s="7" customFormat="1" x14ac:dyDescent="0.25">
      <c r="A196" s="11"/>
      <c r="B196" s="41" t="s">
        <v>745</v>
      </c>
      <c r="C196" s="11"/>
      <c r="D196" s="11"/>
      <c r="E196" s="11"/>
      <c r="F196" s="11"/>
      <c r="G196" s="11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G196" s="14"/>
      <c r="DS196" s="14"/>
      <c r="DT196" s="14"/>
      <c r="DU196" s="14"/>
      <c r="EJ196" s="7">
        <v>10000</v>
      </c>
    </row>
    <row r="197" spans="1:177" s="7" customFormat="1" x14ac:dyDescent="0.25">
      <c r="A197" s="11"/>
      <c r="B197" s="41" t="s">
        <v>746</v>
      </c>
      <c r="C197" s="11"/>
      <c r="D197" s="11"/>
      <c r="E197" s="11"/>
      <c r="F197" s="11"/>
      <c r="G197" s="11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G197" s="14"/>
      <c r="DS197" s="14"/>
      <c r="DT197" s="14"/>
      <c r="DU197" s="14"/>
      <c r="EK197" s="7">
        <f>120+200+240+120+120+460</f>
        <v>1260</v>
      </c>
    </row>
    <row r="198" spans="1:177" s="7" customFormat="1" x14ac:dyDescent="0.25">
      <c r="A198" s="11"/>
      <c r="B198" s="41" t="s">
        <v>747</v>
      </c>
      <c r="C198" s="11"/>
      <c r="D198" s="11"/>
      <c r="E198" s="11"/>
      <c r="F198" s="11"/>
      <c r="G198" s="11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G198" s="14"/>
      <c r="DS198" s="14"/>
      <c r="DT198" s="14"/>
      <c r="DU198" s="14"/>
      <c r="ES198" s="7">
        <v>2600</v>
      </c>
    </row>
    <row r="199" spans="1:177" s="7" customFormat="1" x14ac:dyDescent="0.25">
      <c r="A199" s="11"/>
      <c r="B199" s="41" t="s">
        <v>748</v>
      </c>
      <c r="C199" s="11"/>
      <c r="D199" s="11"/>
      <c r="E199" s="11"/>
      <c r="F199" s="11"/>
      <c r="G199" s="11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G199" s="14"/>
      <c r="DS199" s="14"/>
      <c r="DT199" s="14"/>
      <c r="DU199" s="14"/>
      <c r="EY199" s="7">
        <v>100</v>
      </c>
    </row>
    <row r="200" spans="1:177" s="7" customFormat="1" x14ac:dyDescent="0.25">
      <c r="A200" s="11"/>
      <c r="B200" s="41" t="s">
        <v>749</v>
      </c>
      <c r="C200" s="11"/>
      <c r="D200" s="11"/>
      <c r="E200" s="11"/>
      <c r="F200" s="11"/>
      <c r="G200" s="11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G200" s="14"/>
      <c r="DS200" s="14"/>
      <c r="DT200" s="14"/>
      <c r="DU200" s="14"/>
      <c r="FC200" s="7">
        <f>700+165+110+150+3480</f>
        <v>4605</v>
      </c>
    </row>
    <row r="201" spans="1:177" s="7" customFormat="1" x14ac:dyDescent="0.25">
      <c r="A201" s="11"/>
      <c r="B201" s="41" t="s">
        <v>750</v>
      </c>
      <c r="C201" s="11"/>
      <c r="D201" s="11"/>
      <c r="E201" s="11"/>
      <c r="F201" s="11"/>
      <c r="G201" s="11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G201" s="14"/>
      <c r="DS201" s="14"/>
      <c r="DT201" s="14"/>
      <c r="DU201" s="14"/>
      <c r="FE201" s="7">
        <v>1410</v>
      </c>
    </row>
    <row r="202" spans="1:177" s="7" customFormat="1" x14ac:dyDescent="0.25">
      <c r="A202" s="11"/>
      <c r="B202" s="41" t="s">
        <v>752</v>
      </c>
      <c r="C202" s="11"/>
      <c r="D202" s="11"/>
      <c r="E202" s="11"/>
      <c r="F202" s="11"/>
      <c r="G202" s="11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G202" s="14"/>
      <c r="DS202" s="14"/>
      <c r="DT202" s="14"/>
      <c r="DU202" s="14"/>
      <c r="FS202" s="7">
        <v>2000</v>
      </c>
    </row>
    <row r="203" spans="1:177" s="7" customFormat="1" x14ac:dyDescent="0.25">
      <c r="A203" s="11"/>
      <c r="B203" s="41" t="s">
        <v>751</v>
      </c>
      <c r="C203" s="11"/>
      <c r="D203" s="11"/>
      <c r="E203" s="11"/>
      <c r="F203" s="11"/>
      <c r="G203" s="11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G203" s="14"/>
      <c r="DS203" s="14"/>
      <c r="DT203" s="14"/>
      <c r="DU203" s="14"/>
      <c r="FU203" s="7">
        <v>11600</v>
      </c>
    </row>
    <row r="204" spans="1:177" x14ac:dyDescent="0.25">
      <c r="A204" s="195" t="s">
        <v>458</v>
      </c>
      <c r="B204" s="18" t="s">
        <v>461</v>
      </c>
      <c r="C204" s="52">
        <v>-100000</v>
      </c>
      <c r="D204" s="220" t="s">
        <v>495</v>
      </c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">
        <v>100000</v>
      </c>
    </row>
    <row r="205" spans="1:177" x14ac:dyDescent="0.25">
      <c r="A205" s="195" t="s">
        <v>458</v>
      </c>
      <c r="B205" s="18" t="s">
        <v>462</v>
      </c>
      <c r="C205" s="1">
        <v>-12000</v>
      </c>
      <c r="D205" s="220" t="s">
        <v>496</v>
      </c>
      <c r="S205" s="1">
        <v>12000</v>
      </c>
    </row>
    <row r="206" spans="1:177" x14ac:dyDescent="0.25">
      <c r="A206" s="195" t="s">
        <v>466</v>
      </c>
      <c r="B206" s="18" t="s">
        <v>467</v>
      </c>
      <c r="C206" s="54">
        <v>900000</v>
      </c>
      <c r="D206" s="220" t="s">
        <v>497</v>
      </c>
      <c r="H206" s="1">
        <v>900000</v>
      </c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</row>
    <row r="207" spans="1:177" x14ac:dyDescent="0.25">
      <c r="A207" s="195" t="s">
        <v>466</v>
      </c>
      <c r="B207" s="18" t="s">
        <v>630</v>
      </c>
      <c r="C207" s="1">
        <v>-110000</v>
      </c>
      <c r="D207" s="220" t="s">
        <v>498</v>
      </c>
      <c r="AL207" s="1">
        <v>110000</v>
      </c>
    </row>
    <row r="208" spans="1:177" s="7" customFormat="1" x14ac:dyDescent="0.25">
      <c r="A208" s="11" t="s">
        <v>466</v>
      </c>
      <c r="B208" s="41" t="s">
        <v>468</v>
      </c>
      <c r="C208" s="11">
        <v>-925</v>
      </c>
      <c r="D208" s="220" t="s">
        <v>499</v>
      </c>
      <c r="E208" s="247"/>
      <c r="F208" s="260"/>
      <c r="G208" s="260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DS208" s="14"/>
      <c r="DT208" s="14"/>
      <c r="DU208" s="14"/>
      <c r="EY208" s="7">
        <v>925</v>
      </c>
    </row>
    <row r="209" spans="1:180" s="7" customFormat="1" x14ac:dyDescent="0.25">
      <c r="A209" s="11" t="s">
        <v>469</v>
      </c>
      <c r="B209" s="41" t="s">
        <v>753</v>
      </c>
      <c r="C209" s="7">
        <v>4347</v>
      </c>
      <c r="D209" s="11" t="s">
        <v>500</v>
      </c>
      <c r="E209" s="11"/>
      <c r="F209" s="11"/>
      <c r="G209" s="11"/>
      <c r="BH209" s="7">
        <v>-100000</v>
      </c>
      <c r="DS209" s="14"/>
      <c r="DT209" s="14"/>
      <c r="DU209" s="14"/>
    </row>
    <row r="210" spans="1:180" s="7" customFormat="1" x14ac:dyDescent="0.25">
      <c r="A210" s="11"/>
      <c r="B210" s="41" t="s">
        <v>703</v>
      </c>
      <c r="D210" s="11"/>
      <c r="E210" s="11"/>
      <c r="F210" s="11"/>
      <c r="G210" s="11"/>
      <c r="DS210" s="14"/>
      <c r="DT210" s="14"/>
      <c r="DU210" s="14"/>
    </row>
    <row r="211" spans="1:180" s="7" customFormat="1" x14ac:dyDescent="0.25">
      <c r="A211" s="11"/>
      <c r="B211" s="41" t="s">
        <v>754</v>
      </c>
      <c r="D211" s="11"/>
      <c r="E211" s="11"/>
      <c r="F211" s="11"/>
      <c r="G211" s="11"/>
      <c r="V211" s="7">
        <v>8000</v>
      </c>
      <c r="DS211" s="14"/>
      <c r="DT211" s="14"/>
      <c r="DU211" s="14"/>
    </row>
    <row r="212" spans="1:180" s="7" customFormat="1" x14ac:dyDescent="0.25">
      <c r="A212" s="11"/>
      <c r="B212" s="41" t="s">
        <v>755</v>
      </c>
      <c r="D212" s="11"/>
      <c r="E212" s="11"/>
      <c r="F212" s="11"/>
      <c r="G212" s="11"/>
      <c r="Y212" s="7">
        <v>2000</v>
      </c>
      <c r="DS212" s="14"/>
      <c r="DT212" s="14"/>
      <c r="DU212" s="14"/>
    </row>
    <row r="213" spans="1:180" s="7" customFormat="1" x14ac:dyDescent="0.25">
      <c r="A213" s="11"/>
      <c r="B213" s="41" t="s">
        <v>756</v>
      </c>
      <c r="D213" s="11"/>
      <c r="E213" s="11"/>
      <c r="F213" s="11"/>
      <c r="G213" s="11"/>
      <c r="DS213" s="14"/>
      <c r="DT213" s="14"/>
      <c r="DU213" s="14"/>
      <c r="EH213" s="7">
        <v>100</v>
      </c>
    </row>
    <row r="214" spans="1:180" s="7" customFormat="1" x14ac:dyDescent="0.25">
      <c r="A214" s="11"/>
      <c r="B214" s="41" t="s">
        <v>762</v>
      </c>
      <c r="D214" s="11"/>
      <c r="E214" s="11"/>
      <c r="F214" s="11"/>
      <c r="G214" s="11"/>
      <c r="DS214" s="14"/>
      <c r="DT214" s="14"/>
      <c r="DU214" s="14"/>
      <c r="EK214" s="7">
        <f>220+284</f>
        <v>504</v>
      </c>
    </row>
    <row r="215" spans="1:180" s="7" customFormat="1" x14ac:dyDescent="0.25">
      <c r="A215" s="11"/>
      <c r="B215" s="41" t="s">
        <v>757</v>
      </c>
      <c r="D215" s="11"/>
      <c r="E215" s="11"/>
      <c r="F215" s="11"/>
      <c r="G215" s="11"/>
      <c r="DS215" s="14"/>
      <c r="DT215" s="14"/>
      <c r="DU215" s="14"/>
      <c r="EQ215" s="7">
        <v>6000</v>
      </c>
    </row>
    <row r="216" spans="1:180" s="7" customFormat="1" x14ac:dyDescent="0.25">
      <c r="A216" s="11"/>
      <c r="B216" s="41" t="s">
        <v>758</v>
      </c>
      <c r="D216" s="11"/>
      <c r="E216" s="11"/>
      <c r="F216" s="11"/>
      <c r="G216" s="11"/>
      <c r="DS216" s="14"/>
      <c r="DT216" s="14"/>
      <c r="DU216" s="14"/>
      <c r="EY216" s="7">
        <f>110+100</f>
        <v>210</v>
      </c>
    </row>
    <row r="217" spans="1:180" s="7" customFormat="1" x14ac:dyDescent="0.25">
      <c r="A217" s="11"/>
      <c r="B217" s="41" t="s">
        <v>759</v>
      </c>
      <c r="D217" s="11"/>
      <c r="E217" s="11"/>
      <c r="F217" s="11"/>
      <c r="G217" s="11"/>
      <c r="DS217" s="14"/>
      <c r="DT217" s="14"/>
      <c r="DU217" s="14"/>
      <c r="FE217" s="7">
        <f>364+140</f>
        <v>504</v>
      </c>
    </row>
    <row r="218" spans="1:180" s="7" customFormat="1" x14ac:dyDescent="0.25">
      <c r="A218" s="11"/>
      <c r="B218" s="41" t="s">
        <v>1261</v>
      </c>
      <c r="D218" s="11"/>
      <c r="E218" s="11"/>
      <c r="F218" s="11"/>
      <c r="G218" s="11"/>
      <c r="DS218" s="14"/>
      <c r="DT218" s="14"/>
      <c r="DU218" s="14"/>
      <c r="FQ218" s="7">
        <f>61875+4960</f>
        <v>66835</v>
      </c>
    </row>
    <row r="219" spans="1:180" s="7" customFormat="1" x14ac:dyDescent="0.25">
      <c r="A219" s="11"/>
      <c r="B219" s="41" t="s">
        <v>760</v>
      </c>
      <c r="D219" s="11"/>
      <c r="E219" s="11"/>
      <c r="F219" s="11"/>
      <c r="G219" s="11"/>
      <c r="DS219" s="14"/>
      <c r="DT219" s="14"/>
      <c r="DU219" s="14"/>
      <c r="FQ219" s="7">
        <f>500</f>
        <v>500</v>
      </c>
    </row>
    <row r="220" spans="1:180" s="7" customFormat="1" x14ac:dyDescent="0.25">
      <c r="A220" s="11"/>
      <c r="B220" s="41" t="s">
        <v>761</v>
      </c>
      <c r="D220" s="11"/>
      <c r="E220" s="11"/>
      <c r="F220" s="11"/>
      <c r="G220" s="11"/>
      <c r="DS220" s="14"/>
      <c r="DT220" s="14"/>
      <c r="DU220" s="14"/>
      <c r="FQ220" s="7">
        <f>11000</f>
        <v>11000</v>
      </c>
    </row>
    <row r="221" spans="1:180" s="7" customFormat="1" x14ac:dyDescent="0.25">
      <c r="A221" s="11" t="s">
        <v>469</v>
      </c>
      <c r="B221" s="41" t="s">
        <v>831</v>
      </c>
      <c r="C221" s="11">
        <v>-100000</v>
      </c>
      <c r="D221" s="11" t="s">
        <v>501</v>
      </c>
      <c r="E221" s="11"/>
      <c r="F221" s="11"/>
      <c r="G221" s="11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>
        <v>100000</v>
      </c>
      <c r="BB221" s="14"/>
      <c r="BC221" s="14"/>
      <c r="BD221" s="14"/>
      <c r="BE221" s="14"/>
      <c r="BF221" s="14"/>
      <c r="BG221" s="14"/>
      <c r="DS221" s="14"/>
      <c r="DT221" s="14"/>
      <c r="DU221" s="14"/>
    </row>
    <row r="222" spans="1:180" s="7" customFormat="1" x14ac:dyDescent="0.25">
      <c r="A222" s="11" t="s">
        <v>469</v>
      </c>
      <c r="B222" s="41" t="s">
        <v>471</v>
      </c>
      <c r="C222" s="11">
        <v>-300000</v>
      </c>
      <c r="D222" s="11" t="s">
        <v>502</v>
      </c>
      <c r="E222" s="11"/>
      <c r="F222" s="11"/>
      <c r="G222" s="11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DS222" s="14"/>
      <c r="DT222" s="14"/>
      <c r="DU222" s="14"/>
      <c r="FX222" s="7">
        <v>300000</v>
      </c>
    </row>
    <row r="223" spans="1:180" s="7" customFormat="1" x14ac:dyDescent="0.25">
      <c r="A223" s="11" t="s">
        <v>511</v>
      </c>
      <c r="B223" s="41" t="s">
        <v>832</v>
      </c>
      <c r="C223" s="11">
        <v>-50000</v>
      </c>
      <c r="D223" s="11" t="s">
        <v>545</v>
      </c>
      <c r="E223" s="11"/>
      <c r="F223" s="11"/>
      <c r="G223" s="11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DS223" s="14"/>
      <c r="DT223" s="14"/>
      <c r="DU223" s="14"/>
      <c r="FG223" s="7">
        <v>50000</v>
      </c>
    </row>
    <row r="224" spans="1:180" s="7" customFormat="1" x14ac:dyDescent="0.25">
      <c r="A224" s="11" t="s">
        <v>511</v>
      </c>
      <c r="B224" s="41" t="s">
        <v>514</v>
      </c>
      <c r="C224" s="11">
        <v>-35</v>
      </c>
      <c r="D224" s="11" t="s">
        <v>546</v>
      </c>
      <c r="E224" s="11"/>
      <c r="F224" s="11"/>
      <c r="G224" s="11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DS224" s="14"/>
      <c r="DT224" s="14"/>
      <c r="DU224" s="14"/>
      <c r="EP224" s="7">
        <v>35</v>
      </c>
    </row>
    <row r="225" spans="1:199" s="7" customFormat="1" x14ac:dyDescent="0.25">
      <c r="A225" s="11" t="s">
        <v>511</v>
      </c>
      <c r="B225" s="41" t="s">
        <v>515</v>
      </c>
      <c r="C225" s="11">
        <v>-18</v>
      </c>
      <c r="D225" s="11" t="s">
        <v>547</v>
      </c>
      <c r="E225" s="11"/>
      <c r="F225" s="11"/>
      <c r="G225" s="11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DS225" s="14"/>
      <c r="DT225" s="14"/>
      <c r="DU225" s="14"/>
      <c r="EK225" s="7">
        <v>18</v>
      </c>
    </row>
    <row r="226" spans="1:199" s="14" customFormat="1" x14ac:dyDescent="0.25">
      <c r="A226" s="66" t="s">
        <v>511</v>
      </c>
      <c r="B226" s="41" t="s">
        <v>549</v>
      </c>
      <c r="C226" s="66">
        <v>-1000</v>
      </c>
      <c r="D226" s="11" t="s">
        <v>548</v>
      </c>
      <c r="E226" s="11"/>
      <c r="F226" s="11"/>
      <c r="G226" s="11"/>
      <c r="EK226" s="14">
        <v>1000</v>
      </c>
    </row>
    <row r="227" spans="1:199" s="7" customFormat="1" x14ac:dyDescent="0.25">
      <c r="A227" s="11" t="s">
        <v>511</v>
      </c>
      <c r="B227" s="41" t="s">
        <v>517</v>
      </c>
      <c r="C227" s="11">
        <v>-20</v>
      </c>
      <c r="D227" s="11" t="s">
        <v>718</v>
      </c>
      <c r="E227" s="11"/>
      <c r="F227" s="11"/>
      <c r="G227" s="11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DS227" s="14"/>
      <c r="DT227" s="14"/>
      <c r="DU227" s="14"/>
      <c r="EY227" s="7">
        <v>20</v>
      </c>
    </row>
    <row r="228" spans="1:199" s="7" customFormat="1" x14ac:dyDescent="0.25">
      <c r="A228" s="11" t="s">
        <v>511</v>
      </c>
      <c r="B228" s="41" t="s">
        <v>513</v>
      </c>
      <c r="C228" s="11">
        <v>-250000</v>
      </c>
      <c r="D228" s="66" t="s">
        <v>719</v>
      </c>
      <c r="E228" s="66"/>
      <c r="F228" s="66"/>
      <c r="G228" s="66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7">
        <v>250000</v>
      </c>
      <c r="DS228" s="14"/>
      <c r="DT228" s="14"/>
      <c r="DU228" s="14"/>
    </row>
    <row r="229" spans="1:199" s="7" customFormat="1" x14ac:dyDescent="0.25">
      <c r="A229" s="11"/>
      <c r="B229" s="32" t="s">
        <v>516</v>
      </c>
      <c r="C229" s="11"/>
      <c r="D229" s="11"/>
      <c r="E229" s="11"/>
      <c r="F229" s="11"/>
      <c r="G229" s="11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DS229" s="14"/>
      <c r="DT229" s="14"/>
      <c r="DU229" s="14"/>
    </row>
    <row r="230" spans="1:199" s="7" customFormat="1" x14ac:dyDescent="0.25">
      <c r="A230" s="11"/>
      <c r="B230" s="41"/>
      <c r="C230" s="51">
        <f>SUM(C138:C229)</f>
        <v>259968</v>
      </c>
      <c r="D230" s="51">
        <f t="shared" ref="D230:BS230" si="11">SUM(D138:D229)</f>
        <v>0</v>
      </c>
      <c r="E230" s="51"/>
      <c r="F230" s="51"/>
      <c r="G230" s="51"/>
      <c r="H230" s="51">
        <f t="shared" si="11"/>
        <v>2050000</v>
      </c>
      <c r="I230" s="51">
        <f t="shared" si="11"/>
        <v>0</v>
      </c>
      <c r="J230" s="51">
        <f t="shared" si="11"/>
        <v>0</v>
      </c>
      <c r="K230" s="51">
        <f t="shared" si="11"/>
        <v>0</v>
      </c>
      <c r="L230" s="51">
        <f t="shared" si="11"/>
        <v>0</v>
      </c>
      <c r="M230" s="51">
        <f t="shared" si="11"/>
        <v>0</v>
      </c>
      <c r="N230" s="51">
        <f t="shared" si="11"/>
        <v>0</v>
      </c>
      <c r="O230" s="51">
        <f t="shared" si="11"/>
        <v>0</v>
      </c>
      <c r="P230" s="51">
        <f t="shared" si="11"/>
        <v>0</v>
      </c>
      <c r="Q230" s="51">
        <f t="shared" si="11"/>
        <v>0</v>
      </c>
      <c r="R230" s="51">
        <f t="shared" si="11"/>
        <v>0</v>
      </c>
      <c r="S230" s="51">
        <f t="shared" si="11"/>
        <v>12000</v>
      </c>
      <c r="T230" s="51">
        <f t="shared" si="11"/>
        <v>0</v>
      </c>
      <c r="U230" s="51">
        <f t="shared" si="11"/>
        <v>0</v>
      </c>
      <c r="V230" s="51">
        <f t="shared" si="11"/>
        <v>8000</v>
      </c>
      <c r="W230" s="51">
        <f t="shared" si="11"/>
        <v>0</v>
      </c>
      <c r="X230" s="51"/>
      <c r="Y230" s="51">
        <f t="shared" si="11"/>
        <v>12000</v>
      </c>
      <c r="Z230" s="51">
        <f t="shared" si="11"/>
        <v>0</v>
      </c>
      <c r="AA230" s="51">
        <f t="shared" si="11"/>
        <v>0</v>
      </c>
      <c r="AB230" s="51">
        <f t="shared" si="11"/>
        <v>0</v>
      </c>
      <c r="AC230" s="51">
        <f t="shared" si="11"/>
        <v>0</v>
      </c>
      <c r="AD230" s="51">
        <f t="shared" si="11"/>
        <v>0</v>
      </c>
      <c r="AE230" s="51">
        <f t="shared" si="11"/>
        <v>0</v>
      </c>
      <c r="AF230" s="51">
        <f t="shared" si="11"/>
        <v>0</v>
      </c>
      <c r="AG230" s="51">
        <f t="shared" si="11"/>
        <v>0</v>
      </c>
      <c r="AH230" s="51">
        <f t="shared" si="11"/>
        <v>0</v>
      </c>
      <c r="AI230" s="51">
        <f t="shared" si="11"/>
        <v>11000</v>
      </c>
      <c r="AJ230" s="51">
        <f t="shared" si="11"/>
        <v>0</v>
      </c>
      <c r="AK230" s="51">
        <f t="shared" si="11"/>
        <v>0</v>
      </c>
      <c r="AL230" s="51">
        <f t="shared" si="11"/>
        <v>120000</v>
      </c>
      <c r="AM230" s="51">
        <f t="shared" si="11"/>
        <v>0</v>
      </c>
      <c r="AN230" s="51">
        <f t="shared" si="11"/>
        <v>0</v>
      </c>
      <c r="AO230" s="51">
        <f t="shared" si="11"/>
        <v>0</v>
      </c>
      <c r="AP230" s="51">
        <f t="shared" si="11"/>
        <v>0</v>
      </c>
      <c r="AQ230" s="51">
        <f t="shared" si="11"/>
        <v>0</v>
      </c>
      <c r="AR230" s="51">
        <f t="shared" si="11"/>
        <v>0</v>
      </c>
      <c r="AS230" s="51">
        <f t="shared" si="11"/>
        <v>0</v>
      </c>
      <c r="AT230" s="51">
        <f t="shared" si="11"/>
        <v>0</v>
      </c>
      <c r="AU230" s="51">
        <f t="shared" si="11"/>
        <v>0</v>
      </c>
      <c r="AV230" s="51">
        <f t="shared" si="11"/>
        <v>0</v>
      </c>
      <c r="AW230" s="51">
        <f t="shared" si="11"/>
        <v>0</v>
      </c>
      <c r="AX230" s="51">
        <f t="shared" si="11"/>
        <v>0</v>
      </c>
      <c r="AY230" s="51">
        <f t="shared" si="11"/>
        <v>0</v>
      </c>
      <c r="AZ230" s="51">
        <f t="shared" si="11"/>
        <v>0</v>
      </c>
      <c r="BA230" s="51">
        <f t="shared" si="11"/>
        <v>120000</v>
      </c>
      <c r="BB230" s="51">
        <f t="shared" si="11"/>
        <v>0</v>
      </c>
      <c r="BC230" s="51">
        <f t="shared" si="11"/>
        <v>0</v>
      </c>
      <c r="BD230" s="51">
        <f t="shared" si="11"/>
        <v>0</v>
      </c>
      <c r="BE230" s="51">
        <f t="shared" si="11"/>
        <v>22000</v>
      </c>
      <c r="BF230" s="51">
        <f t="shared" si="11"/>
        <v>0</v>
      </c>
      <c r="BG230" s="51">
        <f t="shared" si="11"/>
        <v>230000</v>
      </c>
      <c r="BH230" s="51">
        <f t="shared" si="11"/>
        <v>256000</v>
      </c>
      <c r="BI230" s="51">
        <f t="shared" si="11"/>
        <v>0</v>
      </c>
      <c r="BJ230" s="51">
        <f t="shared" si="11"/>
        <v>0</v>
      </c>
      <c r="BK230" s="51">
        <f t="shared" si="11"/>
        <v>0</v>
      </c>
      <c r="BL230" s="51">
        <f t="shared" si="11"/>
        <v>0</v>
      </c>
      <c r="BM230" s="51">
        <f t="shared" si="11"/>
        <v>0</v>
      </c>
      <c r="BN230" s="51">
        <f t="shared" si="11"/>
        <v>0</v>
      </c>
      <c r="BO230" s="51">
        <f t="shared" si="11"/>
        <v>0</v>
      </c>
      <c r="BP230" s="51">
        <f t="shared" si="11"/>
        <v>0</v>
      </c>
      <c r="BQ230" s="51">
        <f t="shared" si="11"/>
        <v>0</v>
      </c>
      <c r="BR230" s="51">
        <f t="shared" si="11"/>
        <v>0</v>
      </c>
      <c r="BS230" s="51">
        <f t="shared" si="11"/>
        <v>0</v>
      </c>
      <c r="BT230" s="51">
        <f t="shared" ref="BT230:EJ230" si="12">SUM(BT138:BT229)</f>
        <v>21000</v>
      </c>
      <c r="BU230" s="51">
        <f t="shared" si="12"/>
        <v>426</v>
      </c>
      <c r="BV230" s="51">
        <f t="shared" si="12"/>
        <v>0</v>
      </c>
      <c r="BW230" s="51">
        <f t="shared" si="12"/>
        <v>0</v>
      </c>
      <c r="BX230" s="51">
        <f t="shared" si="12"/>
        <v>0</v>
      </c>
      <c r="BY230" s="51">
        <f t="shared" si="12"/>
        <v>420</v>
      </c>
      <c r="BZ230" s="51">
        <f t="shared" si="12"/>
        <v>0</v>
      </c>
      <c r="CA230" s="51">
        <f t="shared" si="12"/>
        <v>100</v>
      </c>
      <c r="CB230" s="51">
        <f t="shared" si="12"/>
        <v>5000</v>
      </c>
      <c r="CC230" s="51">
        <f t="shared" si="12"/>
        <v>0</v>
      </c>
      <c r="CD230" s="51">
        <f t="shared" si="12"/>
        <v>0</v>
      </c>
      <c r="CE230" s="51">
        <f t="shared" si="12"/>
        <v>0</v>
      </c>
      <c r="CF230" s="51">
        <f t="shared" si="12"/>
        <v>0</v>
      </c>
      <c r="CG230" s="51">
        <f t="shared" si="12"/>
        <v>0</v>
      </c>
      <c r="CH230" s="51">
        <f t="shared" si="12"/>
        <v>0</v>
      </c>
      <c r="CI230" s="51">
        <f t="shared" si="12"/>
        <v>0</v>
      </c>
      <c r="CJ230" s="51">
        <f t="shared" si="12"/>
        <v>0</v>
      </c>
      <c r="CK230" s="51">
        <f t="shared" si="12"/>
        <v>0</v>
      </c>
      <c r="CL230" s="51">
        <f t="shared" si="12"/>
        <v>0</v>
      </c>
      <c r="CM230" s="51">
        <f t="shared" si="12"/>
        <v>0</v>
      </c>
      <c r="CN230" s="51">
        <f t="shared" si="12"/>
        <v>400</v>
      </c>
      <c r="CO230" s="51">
        <f t="shared" si="12"/>
        <v>390</v>
      </c>
      <c r="CP230" s="51"/>
      <c r="CQ230" s="51"/>
      <c r="CR230" s="51">
        <f t="shared" si="12"/>
        <v>0</v>
      </c>
      <c r="CS230" s="51">
        <f t="shared" si="12"/>
        <v>4000</v>
      </c>
      <c r="CT230" s="51">
        <f t="shared" si="12"/>
        <v>0</v>
      </c>
      <c r="CU230" s="51"/>
      <c r="CV230" s="51">
        <f t="shared" si="12"/>
        <v>0</v>
      </c>
      <c r="CW230" s="51">
        <f t="shared" si="12"/>
        <v>300</v>
      </c>
      <c r="CX230" s="51">
        <f t="shared" si="12"/>
        <v>0</v>
      </c>
      <c r="CY230" s="51">
        <f t="shared" si="12"/>
        <v>0</v>
      </c>
      <c r="CZ230" s="51">
        <f t="shared" si="12"/>
        <v>0</v>
      </c>
      <c r="DA230" s="51">
        <f t="shared" si="12"/>
        <v>32000</v>
      </c>
      <c r="DB230" s="51">
        <f t="shared" si="12"/>
        <v>0</v>
      </c>
      <c r="DC230" s="51">
        <f t="shared" si="12"/>
        <v>304667</v>
      </c>
      <c r="DD230" s="51">
        <f t="shared" si="12"/>
        <v>0</v>
      </c>
      <c r="DE230" s="51">
        <f t="shared" si="12"/>
        <v>0</v>
      </c>
      <c r="DF230" s="51">
        <f t="shared" si="12"/>
        <v>58</v>
      </c>
      <c r="DG230" s="51">
        <f t="shared" si="12"/>
        <v>0</v>
      </c>
      <c r="DH230" s="51"/>
      <c r="DI230" s="51">
        <f t="shared" si="12"/>
        <v>40000</v>
      </c>
      <c r="DJ230" s="51">
        <f t="shared" si="12"/>
        <v>0</v>
      </c>
      <c r="DK230" s="51">
        <f t="shared" si="12"/>
        <v>157790</v>
      </c>
      <c r="DL230" s="51">
        <f t="shared" si="12"/>
        <v>0</v>
      </c>
      <c r="DM230" s="51">
        <f t="shared" si="12"/>
        <v>0</v>
      </c>
      <c r="DN230" s="51">
        <f t="shared" si="12"/>
        <v>0</v>
      </c>
      <c r="DO230" s="51">
        <f t="shared" si="12"/>
        <v>40600</v>
      </c>
      <c r="DP230" s="51">
        <f t="shared" si="12"/>
        <v>84648</v>
      </c>
      <c r="DQ230" s="51">
        <f t="shared" si="12"/>
        <v>0</v>
      </c>
      <c r="DR230" s="51">
        <f t="shared" si="12"/>
        <v>8450</v>
      </c>
      <c r="DS230" s="51">
        <f t="shared" si="12"/>
        <v>0</v>
      </c>
      <c r="DT230" s="51">
        <f t="shared" si="12"/>
        <v>0</v>
      </c>
      <c r="DU230" s="51">
        <f t="shared" si="12"/>
        <v>0</v>
      </c>
      <c r="DV230" s="51">
        <f t="shared" si="12"/>
        <v>0</v>
      </c>
      <c r="DW230" s="51">
        <f t="shared" si="12"/>
        <v>0</v>
      </c>
      <c r="DX230" s="51">
        <f t="shared" si="12"/>
        <v>0</v>
      </c>
      <c r="DY230" s="51">
        <f t="shared" si="12"/>
        <v>0</v>
      </c>
      <c r="DZ230" s="51">
        <f t="shared" si="12"/>
        <v>0</v>
      </c>
      <c r="EA230" s="51"/>
      <c r="EB230" s="51">
        <f t="shared" si="12"/>
        <v>0</v>
      </c>
      <c r="EC230" s="51">
        <f t="shared" si="12"/>
        <v>0</v>
      </c>
      <c r="ED230" s="51">
        <f t="shared" si="12"/>
        <v>0</v>
      </c>
      <c r="EE230" s="51">
        <f t="shared" si="12"/>
        <v>0</v>
      </c>
      <c r="EF230" s="51">
        <f t="shared" si="12"/>
        <v>0</v>
      </c>
      <c r="EG230" s="51">
        <f t="shared" si="12"/>
        <v>0</v>
      </c>
      <c r="EH230" s="51">
        <f t="shared" si="12"/>
        <v>100</v>
      </c>
      <c r="EI230" s="51">
        <f t="shared" si="12"/>
        <v>0</v>
      </c>
      <c r="EJ230" s="51">
        <f t="shared" si="12"/>
        <v>19000</v>
      </c>
      <c r="EK230" s="51">
        <f t="shared" ref="EK230:GD230" si="13">SUM(EK138:EK229)</f>
        <v>4002</v>
      </c>
      <c r="EL230" s="51">
        <f t="shared" si="13"/>
        <v>0</v>
      </c>
      <c r="EM230" s="51">
        <f t="shared" si="13"/>
        <v>0</v>
      </c>
      <c r="EN230" s="51">
        <f t="shared" si="13"/>
        <v>0</v>
      </c>
      <c r="EO230" s="51">
        <f t="shared" si="13"/>
        <v>0</v>
      </c>
      <c r="EP230" s="51">
        <f t="shared" si="13"/>
        <v>35</v>
      </c>
      <c r="EQ230" s="51">
        <f t="shared" si="13"/>
        <v>6000</v>
      </c>
      <c r="ER230" s="51">
        <f t="shared" si="13"/>
        <v>0</v>
      </c>
      <c r="ES230" s="51">
        <f t="shared" si="13"/>
        <v>7435</v>
      </c>
      <c r="ET230" s="51">
        <f t="shared" si="13"/>
        <v>0</v>
      </c>
      <c r="EU230" s="51">
        <f t="shared" si="13"/>
        <v>0</v>
      </c>
      <c r="EV230" s="51">
        <f t="shared" si="13"/>
        <v>0</v>
      </c>
      <c r="EW230" s="51">
        <f t="shared" si="13"/>
        <v>0</v>
      </c>
      <c r="EX230" s="51">
        <f t="shared" si="13"/>
        <v>0</v>
      </c>
      <c r="EY230" s="51">
        <f t="shared" si="13"/>
        <v>4517</v>
      </c>
      <c r="EZ230" s="51">
        <f t="shared" si="13"/>
        <v>0</v>
      </c>
      <c r="FA230" s="51">
        <f t="shared" si="13"/>
        <v>0</v>
      </c>
      <c r="FB230" s="51">
        <f t="shared" si="13"/>
        <v>0</v>
      </c>
      <c r="FC230" s="51">
        <f t="shared" si="13"/>
        <v>4605</v>
      </c>
      <c r="FD230" s="51">
        <f t="shared" si="13"/>
        <v>0</v>
      </c>
      <c r="FE230" s="51">
        <f t="shared" si="13"/>
        <v>2614</v>
      </c>
      <c r="FF230" s="51">
        <f t="shared" si="13"/>
        <v>0</v>
      </c>
      <c r="FG230" s="51">
        <f t="shared" si="13"/>
        <v>94000</v>
      </c>
      <c r="FH230" s="51">
        <f t="shared" si="13"/>
        <v>0</v>
      </c>
      <c r="FI230" s="51">
        <f t="shared" si="13"/>
        <v>0</v>
      </c>
      <c r="FJ230" s="51">
        <f t="shared" si="13"/>
        <v>60000</v>
      </c>
      <c r="FK230" s="51">
        <f t="shared" si="13"/>
        <v>0</v>
      </c>
      <c r="FL230" s="51">
        <f t="shared" si="13"/>
        <v>345</v>
      </c>
      <c r="FM230" s="51">
        <f t="shared" si="13"/>
        <v>0</v>
      </c>
      <c r="FN230" s="51">
        <f t="shared" si="13"/>
        <v>0</v>
      </c>
      <c r="FO230" s="51">
        <f t="shared" si="13"/>
        <v>0</v>
      </c>
      <c r="FP230" s="51">
        <f t="shared" si="13"/>
        <v>0</v>
      </c>
      <c r="FQ230" s="51">
        <f t="shared" si="13"/>
        <v>78335</v>
      </c>
      <c r="FR230" s="51">
        <f t="shared" si="13"/>
        <v>2000</v>
      </c>
      <c r="FS230" s="51">
        <f t="shared" si="13"/>
        <v>2000</v>
      </c>
      <c r="FT230" s="51">
        <f t="shared" si="13"/>
        <v>0</v>
      </c>
      <c r="FU230" s="51">
        <f t="shared" si="13"/>
        <v>11600</v>
      </c>
      <c r="FV230" s="51">
        <f t="shared" si="13"/>
        <v>0</v>
      </c>
      <c r="FW230" s="51">
        <f t="shared" si="13"/>
        <v>55000</v>
      </c>
      <c r="FX230" s="51">
        <f t="shared" si="13"/>
        <v>300000</v>
      </c>
      <c r="FY230" s="51">
        <f t="shared" si="13"/>
        <v>0</v>
      </c>
      <c r="FZ230" s="51">
        <f t="shared" si="13"/>
        <v>0</v>
      </c>
      <c r="GA230" s="51">
        <f t="shared" si="13"/>
        <v>0</v>
      </c>
      <c r="GB230" s="51">
        <f t="shared" si="13"/>
        <v>0</v>
      </c>
      <c r="GC230" s="51">
        <f t="shared" si="13"/>
        <v>0</v>
      </c>
      <c r="GD230" s="51">
        <f t="shared" si="13"/>
        <v>0</v>
      </c>
      <c r="GE230" s="51"/>
    </row>
    <row r="231" spans="1:199" x14ac:dyDescent="0.25"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</row>
    <row r="232" spans="1:199" x14ac:dyDescent="0.25">
      <c r="C232" s="2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</row>
    <row r="233" spans="1:199" x14ac:dyDescent="0.25"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378" t="s">
        <v>205</v>
      </c>
      <c r="T233" s="378"/>
      <c r="U233" s="378"/>
      <c r="V233" s="378"/>
      <c r="W233" s="378"/>
      <c r="X233" s="378"/>
      <c r="Y233" s="378"/>
      <c r="Z233" s="378" t="s">
        <v>90</v>
      </c>
      <c r="AA233" s="378"/>
      <c r="AB233" s="378"/>
      <c r="AC233" s="378"/>
      <c r="AD233" s="378"/>
      <c r="AE233" s="378"/>
      <c r="AF233" s="378"/>
      <c r="AG233" s="378"/>
      <c r="AH233" s="378"/>
      <c r="AI233" s="378"/>
      <c r="AJ233" s="378"/>
      <c r="AK233" s="378"/>
      <c r="AL233" s="378"/>
      <c r="AM233" s="378"/>
      <c r="AN233" s="378"/>
      <c r="AO233" s="378"/>
      <c r="AP233" s="378"/>
      <c r="AQ233" s="378"/>
      <c r="AR233" s="378"/>
      <c r="AS233" s="378"/>
      <c r="AT233" s="378"/>
      <c r="AU233" s="378"/>
      <c r="AV233" s="378"/>
      <c r="AW233" s="378"/>
      <c r="AX233" s="378"/>
      <c r="AY233" s="378"/>
      <c r="AZ233" s="378"/>
      <c r="BA233" s="378"/>
      <c r="BB233" s="378"/>
      <c r="BC233" s="378"/>
      <c r="BD233" s="378"/>
      <c r="BE233" s="378"/>
      <c r="BF233" s="378"/>
      <c r="BG233" s="378"/>
      <c r="BH233" s="378"/>
      <c r="BI233" s="378" t="s">
        <v>77</v>
      </c>
      <c r="BJ233" s="378"/>
      <c r="BK233" s="378"/>
      <c r="BL233" s="378"/>
      <c r="BM233" s="378"/>
      <c r="BN233" s="378" t="s">
        <v>65</v>
      </c>
      <c r="BO233" s="378"/>
      <c r="BP233" s="378"/>
      <c r="BQ233" s="378" t="s">
        <v>15</v>
      </c>
      <c r="BR233" s="378"/>
      <c r="BS233" s="378"/>
      <c r="BT233" s="378"/>
      <c r="BU233" s="378"/>
      <c r="BV233" s="378"/>
      <c r="BW233" s="378"/>
      <c r="BX233" s="378"/>
      <c r="BY233" s="378"/>
      <c r="BZ233" s="378"/>
      <c r="CA233" s="378"/>
      <c r="CB233" s="378"/>
      <c r="CC233" s="378"/>
      <c r="CD233" s="378"/>
      <c r="CE233" s="378" t="s">
        <v>4</v>
      </c>
      <c r="CF233" s="378"/>
      <c r="CG233" s="378"/>
      <c r="CH233" s="378"/>
      <c r="CI233" s="378"/>
      <c r="CJ233" s="378"/>
      <c r="CK233" s="378"/>
      <c r="CL233" s="378"/>
      <c r="CM233" s="378"/>
      <c r="CN233" s="378"/>
      <c r="CO233" s="378" t="s">
        <v>21</v>
      </c>
      <c r="CP233" s="378"/>
      <c r="CQ233" s="378"/>
      <c r="CR233" s="378"/>
      <c r="CS233" s="378"/>
      <c r="CT233" s="378"/>
      <c r="CU233" s="378"/>
      <c r="CV233" s="378"/>
      <c r="CW233" s="378"/>
      <c r="CX233" s="378"/>
      <c r="CY233" s="378"/>
      <c r="CZ233" s="378"/>
      <c r="DA233" s="378"/>
      <c r="DB233" s="378"/>
      <c r="DC233" s="378"/>
      <c r="DD233" s="378"/>
      <c r="DE233" s="378"/>
      <c r="DF233" s="378"/>
      <c r="DG233" s="378"/>
      <c r="DH233" s="378"/>
      <c r="DI233" s="378"/>
      <c r="DK233" s="90"/>
      <c r="DL233" s="81"/>
      <c r="DM233" s="142"/>
      <c r="DN233" s="145"/>
      <c r="DO233" s="62"/>
      <c r="DP233" s="378" t="s">
        <v>317</v>
      </c>
      <c r="DQ233" s="378"/>
      <c r="DR233" s="378"/>
      <c r="DS233" s="378"/>
      <c r="DT233" s="378"/>
      <c r="DU233" s="378"/>
      <c r="DV233" s="378"/>
      <c r="DW233" s="378"/>
      <c r="DX233" s="378"/>
      <c r="DY233" s="378"/>
      <c r="DZ233" s="378"/>
      <c r="EA233" s="378"/>
      <c r="EB233" s="378"/>
      <c r="EC233" s="378"/>
      <c r="ED233" s="378"/>
      <c r="EE233" s="378"/>
      <c r="EF233" s="378"/>
      <c r="EG233" s="378"/>
      <c r="EH233" s="378"/>
      <c r="EI233" s="378"/>
      <c r="EJ233" s="378"/>
      <c r="EK233" s="378"/>
      <c r="EL233" s="378"/>
      <c r="EM233" s="378"/>
      <c r="EN233" s="378"/>
      <c r="EO233" s="378"/>
      <c r="EP233" s="378"/>
      <c r="EQ233" s="378"/>
      <c r="ER233" s="378"/>
      <c r="ES233" s="378"/>
      <c r="ET233" s="378"/>
      <c r="EU233" s="378"/>
      <c r="EV233" s="378"/>
      <c r="EW233" s="378"/>
      <c r="EX233" s="378"/>
      <c r="EY233" s="378"/>
      <c r="EZ233" s="378"/>
      <c r="FA233" s="378"/>
      <c r="FB233" s="378"/>
      <c r="FC233" s="378"/>
      <c r="FD233" s="378"/>
      <c r="FE233" s="378"/>
      <c r="FF233" s="378"/>
      <c r="FG233" s="378"/>
      <c r="FH233" s="378"/>
      <c r="FI233" s="378"/>
      <c r="FJ233" s="378"/>
      <c r="FK233" s="378"/>
      <c r="FL233" s="378"/>
      <c r="FM233" s="378"/>
      <c r="FN233" s="378"/>
      <c r="FO233" s="378"/>
      <c r="FP233" s="378"/>
      <c r="FQ233" s="378"/>
      <c r="FR233" s="378"/>
      <c r="FS233" s="378"/>
      <c r="FT233" s="378"/>
      <c r="FU233" s="378"/>
      <c r="FV233" s="378"/>
      <c r="FW233" s="378"/>
    </row>
    <row r="234" spans="1:199" s="62" customFormat="1" x14ac:dyDescent="0.25">
      <c r="A234" s="195" t="s">
        <v>0</v>
      </c>
      <c r="B234" s="18" t="s">
        <v>5</v>
      </c>
      <c r="C234" s="62" t="s">
        <v>89</v>
      </c>
      <c r="D234" s="220" t="s">
        <v>95</v>
      </c>
      <c r="E234" s="247"/>
      <c r="F234" s="260"/>
      <c r="G234" s="260"/>
      <c r="H234" s="62" t="s">
        <v>28</v>
      </c>
      <c r="I234" s="214" t="s">
        <v>382</v>
      </c>
      <c r="J234" s="214" t="s">
        <v>2044</v>
      </c>
      <c r="K234" s="214" t="s">
        <v>2045</v>
      </c>
      <c r="L234" s="214" t="s">
        <v>2046</v>
      </c>
      <c r="M234" s="214" t="s">
        <v>1548</v>
      </c>
      <c r="N234" s="214" t="s">
        <v>1658</v>
      </c>
      <c r="O234" s="214" t="s">
        <v>1660</v>
      </c>
      <c r="P234" s="214" t="s">
        <v>1659</v>
      </c>
      <c r="Q234" s="214" t="s">
        <v>705</v>
      </c>
      <c r="R234" s="214" t="s">
        <v>1661</v>
      </c>
      <c r="S234" s="214" t="s">
        <v>93</v>
      </c>
      <c r="T234" s="214" t="s">
        <v>567</v>
      </c>
      <c r="U234" s="214" t="s">
        <v>1368</v>
      </c>
      <c r="V234" s="214" t="s">
        <v>353</v>
      </c>
      <c r="W234" s="214" t="s">
        <v>206</v>
      </c>
      <c r="X234" s="240" t="s">
        <v>2204</v>
      </c>
      <c r="Y234" s="214" t="s">
        <v>207</v>
      </c>
      <c r="Z234" s="62" t="s">
        <v>91</v>
      </c>
      <c r="AA234" s="62" t="s">
        <v>261</v>
      </c>
      <c r="AB234" s="97" t="s">
        <v>606</v>
      </c>
      <c r="AC234" s="128" t="s">
        <v>938</v>
      </c>
      <c r="AD234" s="97" t="s">
        <v>674</v>
      </c>
      <c r="AE234" s="175" t="s">
        <v>1565</v>
      </c>
      <c r="AF234" s="163" t="s">
        <v>1507</v>
      </c>
      <c r="AG234" s="63" t="s">
        <v>531</v>
      </c>
      <c r="AH234" s="63" t="s">
        <v>541</v>
      </c>
      <c r="AI234" s="62" t="s">
        <v>382</v>
      </c>
      <c r="AJ234" s="105" t="s">
        <v>708</v>
      </c>
      <c r="AK234" s="68" t="s">
        <v>553</v>
      </c>
      <c r="AL234" s="62" t="s">
        <v>554</v>
      </c>
      <c r="AM234" s="86" t="s">
        <v>591</v>
      </c>
      <c r="AN234" s="240" t="s">
        <v>2191</v>
      </c>
      <c r="AO234" s="126" t="s">
        <v>931</v>
      </c>
      <c r="AP234" s="175" t="s">
        <v>1566</v>
      </c>
      <c r="AQ234" s="88" t="s">
        <v>635</v>
      </c>
      <c r="AR234" s="156" t="s">
        <v>1425</v>
      </c>
      <c r="AS234" s="167" t="s">
        <v>1530</v>
      </c>
      <c r="AT234" s="192" t="s">
        <v>1732</v>
      </c>
      <c r="AU234" s="119" t="s">
        <v>895</v>
      </c>
      <c r="AV234" s="158" t="s">
        <v>1459</v>
      </c>
      <c r="AW234" s="145" t="s">
        <v>1240</v>
      </c>
      <c r="AX234" s="163" t="s">
        <v>1505</v>
      </c>
      <c r="AY234" s="68" t="s">
        <v>556</v>
      </c>
      <c r="AZ234" s="156" t="s">
        <v>1434</v>
      </c>
      <c r="BA234" s="89" t="s">
        <v>640</v>
      </c>
      <c r="BB234" s="68" t="s">
        <v>552</v>
      </c>
      <c r="BC234" s="68" t="s">
        <v>565</v>
      </c>
      <c r="BD234" s="87" t="s">
        <v>597</v>
      </c>
      <c r="BE234" s="62" t="s">
        <v>488</v>
      </c>
      <c r="BF234" s="89" t="s">
        <v>1247</v>
      </c>
      <c r="BG234" s="62" t="s">
        <v>242</v>
      </c>
      <c r="BH234" s="62" t="s">
        <v>92</v>
      </c>
      <c r="BI234" s="62" t="s">
        <v>80</v>
      </c>
      <c r="BJ234" s="156" t="s">
        <v>1430</v>
      </c>
      <c r="BK234" s="87" t="s">
        <v>256</v>
      </c>
      <c r="BL234" s="97" t="s">
        <v>673</v>
      </c>
      <c r="BM234" s="62" t="s">
        <v>81</v>
      </c>
      <c r="BN234" s="62" t="s">
        <v>80</v>
      </c>
      <c r="BO234" s="156" t="s">
        <v>1430</v>
      </c>
      <c r="BP234" s="62" t="s">
        <v>81</v>
      </c>
      <c r="BQ234" s="62" t="s">
        <v>226</v>
      </c>
      <c r="BR234" s="62" t="s">
        <v>69</v>
      </c>
      <c r="BS234" s="62" t="s">
        <v>84</v>
      </c>
      <c r="BT234" s="62" t="s">
        <v>76</v>
      </c>
      <c r="BU234" s="62" t="s">
        <v>38</v>
      </c>
      <c r="BV234" s="62" t="s">
        <v>271</v>
      </c>
      <c r="BW234" s="62" t="s">
        <v>34</v>
      </c>
      <c r="BX234" s="62" t="s">
        <v>35</v>
      </c>
      <c r="BY234" s="62" t="s">
        <v>6</v>
      </c>
      <c r="BZ234" s="62" t="s">
        <v>82</v>
      </c>
      <c r="CA234" s="62" t="s">
        <v>63</v>
      </c>
      <c r="CB234" s="62" t="s">
        <v>68</v>
      </c>
      <c r="CC234" s="62" t="s">
        <v>221</v>
      </c>
      <c r="CD234" s="62" t="s">
        <v>83</v>
      </c>
      <c r="CE234" s="62" t="s">
        <v>37</v>
      </c>
      <c r="CF234" s="62" t="s">
        <v>74</v>
      </c>
      <c r="CG234" s="62" t="s">
        <v>39</v>
      </c>
      <c r="CH234" s="62" t="s">
        <v>6</v>
      </c>
      <c r="CI234" s="62" t="s">
        <v>38</v>
      </c>
      <c r="CJ234" s="62" t="s">
        <v>78</v>
      </c>
      <c r="CK234" s="62" t="s">
        <v>79</v>
      </c>
      <c r="CL234" s="62" t="s">
        <v>59</v>
      </c>
      <c r="CM234" s="62" t="s">
        <v>36</v>
      </c>
      <c r="CN234" s="62" t="s">
        <v>63</v>
      </c>
      <c r="CO234" s="62" t="s">
        <v>38</v>
      </c>
      <c r="CP234" s="338"/>
      <c r="CQ234" s="347"/>
      <c r="CR234" s="146" t="s">
        <v>6</v>
      </c>
      <c r="CS234" s="62" t="s">
        <v>37</v>
      </c>
      <c r="CT234" s="144" t="s">
        <v>1186</v>
      </c>
      <c r="CU234" s="359"/>
      <c r="CV234" s="144" t="s">
        <v>1189</v>
      </c>
      <c r="CW234" s="62" t="s">
        <v>39</v>
      </c>
      <c r="CX234" s="168" t="s">
        <v>690</v>
      </c>
      <c r="CY234" s="62" t="s">
        <v>19</v>
      </c>
      <c r="CZ234" s="230" t="s">
        <v>2125</v>
      </c>
      <c r="DA234" s="62" t="s">
        <v>374</v>
      </c>
      <c r="DB234" s="62" t="s">
        <v>323</v>
      </c>
      <c r="DC234" s="62" t="s">
        <v>69</v>
      </c>
      <c r="DD234" s="197" t="s">
        <v>1776</v>
      </c>
      <c r="DE234" s="220" t="s">
        <v>2065</v>
      </c>
      <c r="DF234" s="62" t="s">
        <v>377</v>
      </c>
      <c r="DG234" s="163" t="s">
        <v>1514</v>
      </c>
      <c r="DH234" s="354"/>
      <c r="DI234" s="62" t="s">
        <v>62</v>
      </c>
      <c r="DJ234" s="90" t="s">
        <v>392</v>
      </c>
      <c r="DK234" s="240" t="s">
        <v>2190</v>
      </c>
      <c r="DL234" s="87" t="s">
        <v>604</v>
      </c>
      <c r="DM234" s="142" t="s">
        <v>1132</v>
      </c>
      <c r="DN234" s="145" t="s">
        <v>1248</v>
      </c>
      <c r="DO234" s="88" t="s">
        <v>634</v>
      </c>
      <c r="DP234" s="62" t="s">
        <v>306</v>
      </c>
      <c r="DQ234" s="119" t="s">
        <v>896</v>
      </c>
      <c r="DR234" s="36" t="s">
        <v>307</v>
      </c>
      <c r="DS234" s="238" t="s">
        <v>2141</v>
      </c>
      <c r="DT234" s="238" t="s">
        <v>2142</v>
      </c>
      <c r="DU234" s="238" t="s">
        <v>2143</v>
      </c>
      <c r="DV234" s="62" t="s">
        <v>69</v>
      </c>
      <c r="DW234" s="186" t="s">
        <v>1672</v>
      </c>
      <c r="DX234" s="62" t="s">
        <v>84</v>
      </c>
      <c r="DY234" s="105" t="s">
        <v>709</v>
      </c>
      <c r="DZ234" s="105" t="s">
        <v>710</v>
      </c>
      <c r="EA234" s="240" t="s">
        <v>2203</v>
      </c>
      <c r="EB234" s="223" t="s">
        <v>2093</v>
      </c>
      <c r="EC234" s="147" t="s">
        <v>1289</v>
      </c>
      <c r="ED234" s="121" t="s">
        <v>902</v>
      </c>
      <c r="EE234" s="105" t="s">
        <v>711</v>
      </c>
      <c r="EF234" s="86" t="s">
        <v>624</v>
      </c>
      <c r="EG234" s="105" t="s">
        <v>699</v>
      </c>
      <c r="EH234" s="62" t="s">
        <v>37</v>
      </c>
      <c r="EI234" s="223" t="s">
        <v>2089</v>
      </c>
      <c r="EJ234" s="62" t="s">
        <v>76</v>
      </c>
      <c r="EK234" s="62" t="s">
        <v>38</v>
      </c>
      <c r="EL234" s="86" t="s">
        <v>611</v>
      </c>
      <c r="EM234" s="86" t="s">
        <v>612</v>
      </c>
      <c r="EN234" s="86" t="s">
        <v>613</v>
      </c>
      <c r="EO234" s="86" t="s">
        <v>620</v>
      </c>
      <c r="EP234" s="62" t="s">
        <v>377</v>
      </c>
      <c r="EQ234" s="62" t="s">
        <v>271</v>
      </c>
      <c r="ER234" s="62" t="s">
        <v>34</v>
      </c>
      <c r="ES234" s="62" t="s">
        <v>35</v>
      </c>
      <c r="ET234" s="105" t="s">
        <v>713</v>
      </c>
      <c r="EU234" s="86" t="s">
        <v>621</v>
      </c>
      <c r="EV234" s="86" t="s">
        <v>622</v>
      </c>
      <c r="EW234" s="86" t="s">
        <v>623</v>
      </c>
      <c r="EX234" s="214" t="s">
        <v>2047</v>
      </c>
      <c r="EY234" s="62" t="s">
        <v>6</v>
      </c>
      <c r="EZ234" s="86" t="s">
        <v>603</v>
      </c>
      <c r="FA234" s="86" t="s">
        <v>618</v>
      </c>
      <c r="FB234" s="86" t="s">
        <v>1249</v>
      </c>
      <c r="FC234" s="62" t="s">
        <v>82</v>
      </c>
      <c r="FD234" s="86" t="s">
        <v>489</v>
      </c>
      <c r="FE234" s="62" t="s">
        <v>63</v>
      </c>
      <c r="FF234" s="62" t="s">
        <v>68</v>
      </c>
      <c r="FG234" s="62" t="s">
        <v>512</v>
      </c>
      <c r="FH234" s="154" t="s">
        <v>1371</v>
      </c>
      <c r="FI234" s="178" t="s">
        <v>1593</v>
      </c>
      <c r="FJ234" s="62" t="s">
        <v>221</v>
      </c>
      <c r="FK234" s="62" t="s">
        <v>83</v>
      </c>
      <c r="FL234" s="62" t="s">
        <v>19</v>
      </c>
      <c r="FM234" s="86" t="s">
        <v>614</v>
      </c>
      <c r="FN234" s="86" t="s">
        <v>617</v>
      </c>
      <c r="FO234" s="86" t="s">
        <v>616</v>
      </c>
      <c r="FP234" s="86" t="s">
        <v>615</v>
      </c>
      <c r="FQ234" s="62" t="s">
        <v>470</v>
      </c>
      <c r="FR234" s="62" t="s">
        <v>363</v>
      </c>
      <c r="FS234" s="62" t="s">
        <v>489</v>
      </c>
      <c r="FT234" s="107" t="s">
        <v>676</v>
      </c>
      <c r="FU234" s="62" t="s">
        <v>490</v>
      </c>
      <c r="FV234" s="86" t="s">
        <v>596</v>
      </c>
      <c r="FW234" s="62" t="s">
        <v>417</v>
      </c>
      <c r="FX234" s="62" t="s">
        <v>472</v>
      </c>
      <c r="FY234" s="126" t="s">
        <v>933</v>
      </c>
      <c r="FZ234" s="147" t="s">
        <v>1293</v>
      </c>
      <c r="GA234" s="184" t="s">
        <v>1654</v>
      </c>
      <c r="GB234" s="184" t="s">
        <v>1655</v>
      </c>
      <c r="GC234" s="190" t="s">
        <v>1726</v>
      </c>
      <c r="GD234" s="62" t="s">
        <v>566</v>
      </c>
      <c r="GE234" s="277"/>
      <c r="GG234" s="366"/>
      <c r="GH234" s="294"/>
      <c r="GI234" s="277"/>
      <c r="GQ234" s="314"/>
    </row>
    <row r="235" spans="1:199" x14ac:dyDescent="0.25">
      <c r="A235" s="195" t="s">
        <v>518</v>
      </c>
      <c r="B235" s="18" t="s">
        <v>2</v>
      </c>
      <c r="C235" s="24">
        <f>C230</f>
        <v>259968</v>
      </c>
      <c r="S235" s="1">
        <f>S230</f>
        <v>12000</v>
      </c>
      <c r="V235" s="1">
        <f>V230</f>
        <v>8000</v>
      </c>
      <c r="Y235" s="1">
        <f>Y230</f>
        <v>12000</v>
      </c>
      <c r="Z235" s="14"/>
      <c r="AA235" s="14"/>
      <c r="AB235" s="14"/>
      <c r="AC235" s="14"/>
      <c r="AD235" s="14"/>
      <c r="AE235" s="14"/>
      <c r="AF235" s="14"/>
      <c r="AG235" s="14"/>
      <c r="AH235" s="14"/>
      <c r="AI235" s="14">
        <f>AI230</f>
        <v>11000</v>
      </c>
      <c r="AJ235" s="14"/>
      <c r="AK235" s="14"/>
      <c r="AL235" s="14">
        <f>AL230</f>
        <v>120000</v>
      </c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>
        <f>BA230</f>
        <v>120000</v>
      </c>
      <c r="BB235" s="14"/>
      <c r="BC235" s="14"/>
      <c r="BD235" s="14"/>
      <c r="BE235" s="14">
        <f>BE230</f>
        <v>22000</v>
      </c>
      <c r="BF235" s="14"/>
      <c r="BG235" s="14">
        <f>BG230</f>
        <v>230000</v>
      </c>
      <c r="BH235" s="1">
        <f>BH230</f>
        <v>256000</v>
      </c>
      <c r="DK235" s="1">
        <f>DK230</f>
        <v>157790</v>
      </c>
      <c r="DO235" s="1">
        <f>DO230</f>
        <v>40600</v>
      </c>
      <c r="DP235" s="1">
        <f t="shared" ref="DP235:EL235" si="14">DP230</f>
        <v>84648</v>
      </c>
      <c r="DR235" s="1">
        <f t="shared" si="14"/>
        <v>8450</v>
      </c>
      <c r="DS235" s="65">
        <f t="shared" si="14"/>
        <v>0</v>
      </c>
      <c r="DV235" s="1">
        <f>DV230</f>
        <v>0</v>
      </c>
      <c r="DX235" s="1">
        <f t="shared" si="14"/>
        <v>0</v>
      </c>
      <c r="EH235" s="1">
        <f t="shared" si="14"/>
        <v>100</v>
      </c>
      <c r="EJ235" s="1">
        <f t="shared" si="14"/>
        <v>19000</v>
      </c>
      <c r="EK235" s="1">
        <f t="shared" si="14"/>
        <v>4002</v>
      </c>
      <c r="EL235" s="1">
        <f t="shared" si="14"/>
        <v>0</v>
      </c>
      <c r="EP235" s="1">
        <f t="shared" ref="EP235:EZ235" si="15">EP230</f>
        <v>35</v>
      </c>
      <c r="EQ235" s="1">
        <f t="shared" si="15"/>
        <v>6000</v>
      </c>
      <c r="ER235" s="1">
        <f t="shared" si="15"/>
        <v>0</v>
      </c>
      <c r="ES235" s="1">
        <f t="shared" si="15"/>
        <v>7435</v>
      </c>
      <c r="EU235" s="1">
        <f t="shared" si="15"/>
        <v>0</v>
      </c>
      <c r="EV235" s="1">
        <f t="shared" si="15"/>
        <v>0</v>
      </c>
      <c r="EW235" s="1">
        <f t="shared" si="15"/>
        <v>0</v>
      </c>
      <c r="EY235" s="1">
        <f t="shared" si="15"/>
        <v>4517</v>
      </c>
      <c r="EZ235" s="1">
        <f t="shared" si="15"/>
        <v>0</v>
      </c>
      <c r="FA235" s="1">
        <f>FA231</f>
        <v>0</v>
      </c>
      <c r="FB235" s="1">
        <f>FB231</f>
        <v>0</v>
      </c>
      <c r="FC235" s="1">
        <f t="shared" ref="FC235:GD235" si="16">FC230</f>
        <v>4605</v>
      </c>
      <c r="FD235" s="1">
        <f t="shared" si="16"/>
        <v>0</v>
      </c>
      <c r="FE235" s="1">
        <f t="shared" si="16"/>
        <v>2614</v>
      </c>
      <c r="FF235" s="1">
        <f t="shared" si="16"/>
        <v>0</v>
      </c>
      <c r="FG235" s="1">
        <f t="shared" si="16"/>
        <v>94000</v>
      </c>
      <c r="FJ235" s="1">
        <f t="shared" si="16"/>
        <v>60000</v>
      </c>
      <c r="FK235" s="1">
        <f t="shared" si="16"/>
        <v>0</v>
      </c>
      <c r="FL235" s="1">
        <f t="shared" si="16"/>
        <v>345</v>
      </c>
      <c r="FM235" s="1">
        <f t="shared" si="16"/>
        <v>0</v>
      </c>
      <c r="FN235" s="1">
        <f t="shared" si="16"/>
        <v>0</v>
      </c>
      <c r="FO235" s="1">
        <f t="shared" si="16"/>
        <v>0</v>
      </c>
      <c r="FP235" s="1">
        <f t="shared" si="16"/>
        <v>0</v>
      </c>
      <c r="FQ235" s="1">
        <f t="shared" si="16"/>
        <v>78335</v>
      </c>
      <c r="FR235" s="1">
        <f t="shared" si="16"/>
        <v>2000</v>
      </c>
      <c r="FS235" s="1">
        <f t="shared" si="16"/>
        <v>2000</v>
      </c>
      <c r="FU235" s="1">
        <f t="shared" si="16"/>
        <v>11600</v>
      </c>
      <c r="FV235" s="1">
        <f t="shared" si="16"/>
        <v>0</v>
      </c>
      <c r="FW235" s="1">
        <f t="shared" si="16"/>
        <v>55000</v>
      </c>
      <c r="FX235" s="1">
        <f t="shared" si="16"/>
        <v>300000</v>
      </c>
      <c r="GD235" s="1">
        <f t="shared" si="16"/>
        <v>0</v>
      </c>
    </row>
    <row r="236" spans="1:199" x14ac:dyDescent="0.25">
      <c r="A236" s="195" t="s">
        <v>522</v>
      </c>
      <c r="B236" s="18" t="s">
        <v>520</v>
      </c>
      <c r="C236" s="24">
        <v>-40000</v>
      </c>
      <c r="D236" s="11" t="s">
        <v>720</v>
      </c>
      <c r="E236" s="11"/>
      <c r="F236" s="11"/>
      <c r="G236" s="11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DI236" s="1">
        <v>40000</v>
      </c>
    </row>
    <row r="237" spans="1:199" s="7" customFormat="1" x14ac:dyDescent="0.25">
      <c r="A237" s="11" t="s">
        <v>522</v>
      </c>
      <c r="B237" s="41" t="s">
        <v>768</v>
      </c>
      <c r="C237" s="11">
        <v>556</v>
      </c>
      <c r="D237" s="11" t="s">
        <v>770</v>
      </c>
      <c r="E237" s="11"/>
      <c r="F237" s="11"/>
      <c r="G237" s="11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7">
        <v>-6000</v>
      </c>
      <c r="DS237" s="14"/>
      <c r="DT237" s="14"/>
      <c r="DU237" s="14"/>
    </row>
    <row r="238" spans="1:199" s="7" customFormat="1" x14ac:dyDescent="0.25">
      <c r="A238" s="11"/>
      <c r="B238" s="18" t="s">
        <v>771</v>
      </c>
      <c r="C238" s="11"/>
      <c r="D238" s="11"/>
      <c r="E238" s="11"/>
      <c r="F238" s="11"/>
      <c r="G238" s="11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CY238" s="7">
        <f>5244</f>
        <v>5244</v>
      </c>
      <c r="DS238" s="14"/>
      <c r="DT238" s="14"/>
      <c r="DU238" s="14"/>
    </row>
    <row r="239" spans="1:199" s="7" customFormat="1" x14ac:dyDescent="0.25">
      <c r="A239" s="11"/>
      <c r="B239" s="41" t="s">
        <v>772</v>
      </c>
      <c r="C239" s="11"/>
      <c r="D239" s="11"/>
      <c r="E239" s="11"/>
      <c r="F239" s="11"/>
      <c r="G239" s="11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CO239" s="7">
        <v>200</v>
      </c>
      <c r="DS239" s="14"/>
      <c r="DT239" s="14"/>
      <c r="DU239" s="14"/>
    </row>
    <row r="240" spans="1:199" x14ac:dyDescent="0.25">
      <c r="A240" s="195" t="s">
        <v>522</v>
      </c>
      <c r="B240" s="18" t="s">
        <v>776</v>
      </c>
      <c r="C240" s="24">
        <v>-30000</v>
      </c>
      <c r="D240" s="220" t="s">
        <v>775</v>
      </c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>
        <v>30000</v>
      </c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</row>
    <row r="241" spans="1:186" x14ac:dyDescent="0.25">
      <c r="A241" s="195" t="s">
        <v>522</v>
      </c>
      <c r="B241" s="18" t="s">
        <v>521</v>
      </c>
      <c r="C241" s="24">
        <v>-600</v>
      </c>
      <c r="D241" s="220" t="s">
        <v>777</v>
      </c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EY241" s="1">
        <v>600</v>
      </c>
    </row>
    <row r="242" spans="1:186" x14ac:dyDescent="0.25">
      <c r="A242" s="195" t="s">
        <v>523</v>
      </c>
      <c r="B242" s="18" t="s">
        <v>528</v>
      </c>
      <c r="C242" s="63">
        <v>300000</v>
      </c>
      <c r="D242" s="220" t="s">
        <v>778</v>
      </c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FX242" s="1">
        <v>-300000</v>
      </c>
    </row>
    <row r="243" spans="1:186" x14ac:dyDescent="0.25">
      <c r="A243" s="195" t="s">
        <v>523</v>
      </c>
      <c r="B243" s="18" t="s">
        <v>551</v>
      </c>
      <c r="C243" s="63">
        <v>-3000</v>
      </c>
      <c r="D243" s="220" t="s">
        <v>779</v>
      </c>
      <c r="Z243" s="14"/>
      <c r="AA243" s="14"/>
      <c r="AB243" s="14"/>
      <c r="AC243" s="14"/>
      <c r="AD243" s="14"/>
      <c r="AE243" s="14"/>
      <c r="AF243" s="14"/>
      <c r="AG243" s="14"/>
      <c r="AH243" s="14"/>
      <c r="AI243" s="14">
        <v>3000</v>
      </c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</row>
    <row r="244" spans="1:186" x14ac:dyDescent="0.25">
      <c r="A244" s="195" t="s">
        <v>523</v>
      </c>
      <c r="B244" s="18" t="s">
        <v>550</v>
      </c>
      <c r="C244" s="63">
        <v>-60</v>
      </c>
      <c r="D244" s="220" t="s">
        <v>781</v>
      </c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EY244" s="1">
        <v>60</v>
      </c>
    </row>
    <row r="245" spans="1:186" x14ac:dyDescent="0.25">
      <c r="A245" s="195" t="s">
        <v>524</v>
      </c>
      <c r="B245" s="18" t="s">
        <v>529</v>
      </c>
      <c r="C245" s="63">
        <v>350000</v>
      </c>
      <c r="D245" s="220" t="s">
        <v>782</v>
      </c>
      <c r="H245" s="1">
        <v>350000</v>
      </c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</row>
    <row r="246" spans="1:186" x14ac:dyDescent="0.25">
      <c r="A246" s="195" t="s">
        <v>524</v>
      </c>
      <c r="B246" s="18" t="s">
        <v>783</v>
      </c>
      <c r="C246" s="63">
        <v>-100000</v>
      </c>
      <c r="D246" s="220" t="s">
        <v>784</v>
      </c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>
        <v>100000</v>
      </c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</row>
    <row r="247" spans="1:186" x14ac:dyDescent="0.25">
      <c r="A247" s="195" t="s">
        <v>524</v>
      </c>
      <c r="B247" s="18" t="s">
        <v>532</v>
      </c>
      <c r="C247" s="63">
        <v>-4000</v>
      </c>
      <c r="D247" s="220" t="s">
        <v>785</v>
      </c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CS247" s="1">
        <v>4000</v>
      </c>
    </row>
    <row r="248" spans="1:186" s="7" customFormat="1" x14ac:dyDescent="0.25">
      <c r="A248" s="11" t="s">
        <v>524</v>
      </c>
      <c r="B248" s="41" t="s">
        <v>525</v>
      </c>
      <c r="C248" s="11">
        <v>-445000</v>
      </c>
      <c r="D248" s="11" t="s">
        <v>786</v>
      </c>
      <c r="E248" s="11"/>
      <c r="F248" s="11"/>
      <c r="G248" s="11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7">
        <v>445000</v>
      </c>
      <c r="DS248" s="14"/>
      <c r="DT248" s="14"/>
      <c r="DU248" s="14"/>
    </row>
    <row r="249" spans="1:186" x14ac:dyDescent="0.25">
      <c r="A249" s="195" t="s">
        <v>524</v>
      </c>
      <c r="B249" s="18" t="s">
        <v>836</v>
      </c>
      <c r="C249" s="63">
        <v>-50000</v>
      </c>
      <c r="D249" s="220" t="s">
        <v>787</v>
      </c>
      <c r="Z249" s="14"/>
      <c r="AA249" s="14"/>
      <c r="AB249" s="14"/>
      <c r="AC249" s="14"/>
      <c r="AD249" s="14"/>
      <c r="AE249" s="14"/>
      <c r="AF249" s="14"/>
      <c r="AG249" s="14">
        <v>50000</v>
      </c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</row>
    <row r="250" spans="1:186" x14ac:dyDescent="0.25">
      <c r="A250" s="195" t="s">
        <v>524</v>
      </c>
      <c r="B250" s="18" t="s">
        <v>530</v>
      </c>
      <c r="C250" s="63">
        <v>-50000</v>
      </c>
      <c r="D250" s="220" t="s">
        <v>788</v>
      </c>
      <c r="Z250" s="14"/>
      <c r="AA250" s="14"/>
      <c r="AB250" s="14"/>
      <c r="AC250" s="14"/>
      <c r="AD250" s="14"/>
      <c r="AE250" s="14"/>
      <c r="AF250" s="14"/>
      <c r="AG250" s="14"/>
      <c r="AH250" s="14">
        <v>50000</v>
      </c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</row>
    <row r="251" spans="1:186" s="4" customFormat="1" x14ac:dyDescent="0.25">
      <c r="A251" s="10" t="s">
        <v>524</v>
      </c>
      <c r="B251" s="32" t="s">
        <v>538</v>
      </c>
      <c r="C251" s="10">
        <v>-3500</v>
      </c>
      <c r="D251" s="10" t="s">
        <v>789</v>
      </c>
      <c r="E251" s="248"/>
      <c r="F251" s="261"/>
      <c r="G251" s="261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CY251" s="4">
        <v>3500</v>
      </c>
      <c r="DS251" s="12"/>
      <c r="DT251" s="12"/>
      <c r="DU251" s="12"/>
    </row>
    <row r="252" spans="1:186" s="4" customFormat="1" x14ac:dyDescent="0.25">
      <c r="A252" s="10" t="s">
        <v>539</v>
      </c>
      <c r="B252" s="32" t="s">
        <v>790</v>
      </c>
      <c r="C252" s="10">
        <v>200000</v>
      </c>
      <c r="D252" s="10" t="s">
        <v>791</v>
      </c>
      <c r="E252" s="248"/>
      <c r="F252" s="261"/>
      <c r="G252" s="261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4">
        <v>-200000</v>
      </c>
      <c r="DS252" s="12"/>
      <c r="DT252" s="12"/>
      <c r="DU252" s="12"/>
    </row>
    <row r="253" spans="1:186" s="4" customFormat="1" x14ac:dyDescent="0.25">
      <c r="A253" s="10" t="s">
        <v>539</v>
      </c>
      <c r="B253" s="32" t="s">
        <v>794</v>
      </c>
      <c r="C253" s="10">
        <v>1000000</v>
      </c>
      <c r="D253" s="10" t="s">
        <v>792</v>
      </c>
      <c r="E253" s="248"/>
      <c r="F253" s="261"/>
      <c r="G253" s="261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DS253" s="12"/>
      <c r="DT253" s="12"/>
      <c r="DU253" s="12"/>
      <c r="GD253" s="4">
        <v>1000000</v>
      </c>
    </row>
    <row r="254" spans="1:186" s="4" customFormat="1" x14ac:dyDescent="0.25">
      <c r="A254" s="10" t="s">
        <v>539</v>
      </c>
      <c r="B254" s="32" t="s">
        <v>527</v>
      </c>
      <c r="C254" s="10">
        <v>-1500</v>
      </c>
      <c r="D254" s="10" t="s">
        <v>795</v>
      </c>
      <c r="E254" s="248"/>
      <c r="F254" s="261"/>
      <c r="G254" s="261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>
        <v>1500</v>
      </c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DS254" s="12"/>
      <c r="DT254" s="12"/>
      <c r="DU254" s="12"/>
    </row>
    <row r="255" spans="1:186" s="4" customFormat="1" x14ac:dyDescent="0.25">
      <c r="A255" s="10" t="s">
        <v>539</v>
      </c>
      <c r="B255" s="32" t="s">
        <v>526</v>
      </c>
      <c r="C255" s="10">
        <v>-35</v>
      </c>
      <c r="D255" s="10" t="s">
        <v>796</v>
      </c>
      <c r="E255" s="248"/>
      <c r="F255" s="261"/>
      <c r="G255" s="261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DS255" s="12"/>
      <c r="DT255" s="12"/>
      <c r="DU255" s="12"/>
      <c r="EK255" s="4">
        <v>35</v>
      </c>
    </row>
    <row r="256" spans="1:186" x14ac:dyDescent="0.25">
      <c r="A256" s="195" t="s">
        <v>539</v>
      </c>
      <c r="B256" s="18" t="s">
        <v>559</v>
      </c>
      <c r="C256" s="63">
        <v>-53500</v>
      </c>
      <c r="D256" s="220" t="s">
        <v>797</v>
      </c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>
        <v>53500</v>
      </c>
      <c r="BC256" s="14"/>
      <c r="BD256" s="14"/>
      <c r="BE256" s="14"/>
      <c r="BF256" s="14"/>
      <c r="BG256" s="14"/>
    </row>
    <row r="257" spans="1:155" s="4" customFormat="1" x14ac:dyDescent="0.25">
      <c r="A257" s="10" t="s">
        <v>539</v>
      </c>
      <c r="B257" s="32" t="s">
        <v>822</v>
      </c>
      <c r="C257" s="10">
        <v>-15700</v>
      </c>
      <c r="D257" s="10" t="s">
        <v>798</v>
      </c>
      <c r="E257" s="248"/>
      <c r="F257" s="261"/>
      <c r="G257" s="261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>
        <v>15700</v>
      </c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DS257" s="12"/>
      <c r="DT257" s="12"/>
      <c r="DU257" s="12"/>
    </row>
    <row r="258" spans="1:155" s="4" customFormat="1" x14ac:dyDescent="0.25">
      <c r="A258" s="10" t="s">
        <v>539</v>
      </c>
      <c r="B258" s="32" t="s">
        <v>555</v>
      </c>
      <c r="C258" s="10">
        <v>-315</v>
      </c>
      <c r="D258" s="10" t="s">
        <v>799</v>
      </c>
      <c r="E258" s="248"/>
      <c r="F258" s="261"/>
      <c r="G258" s="261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DS258" s="12"/>
      <c r="DT258" s="12"/>
      <c r="DU258" s="12"/>
      <c r="EY258" s="4">
        <v>315</v>
      </c>
    </row>
    <row r="259" spans="1:155" x14ac:dyDescent="0.25">
      <c r="A259" s="195" t="s">
        <v>539</v>
      </c>
      <c r="B259" s="18" t="s">
        <v>847</v>
      </c>
      <c r="C259" s="63">
        <v>-5000</v>
      </c>
      <c r="D259" s="220" t="s">
        <v>800</v>
      </c>
      <c r="W259" s="1">
        <v>5000</v>
      </c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</row>
    <row r="260" spans="1:155" x14ac:dyDescent="0.25">
      <c r="A260" s="195" t="s">
        <v>539</v>
      </c>
      <c r="B260" s="18" t="s">
        <v>542</v>
      </c>
      <c r="C260" s="63">
        <v>-79592</v>
      </c>
      <c r="D260" s="220" t="s">
        <v>801</v>
      </c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>
        <v>79592</v>
      </c>
      <c r="BG260" s="14"/>
    </row>
    <row r="261" spans="1:155" s="4" customFormat="1" x14ac:dyDescent="0.25">
      <c r="A261" s="10" t="s">
        <v>539</v>
      </c>
      <c r="B261" s="32" t="s">
        <v>823</v>
      </c>
      <c r="C261" s="10">
        <v>-115</v>
      </c>
      <c r="D261" s="10" t="s">
        <v>802</v>
      </c>
      <c r="E261" s="248"/>
      <c r="F261" s="261"/>
      <c r="G261" s="261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CO261" s="4">
        <v>115</v>
      </c>
      <c r="DS261" s="12"/>
      <c r="DT261" s="12"/>
      <c r="DU261" s="12"/>
    </row>
    <row r="262" spans="1:155" x14ac:dyDescent="0.25">
      <c r="A262" s="195" t="s">
        <v>543</v>
      </c>
      <c r="B262" s="18" t="s">
        <v>827</v>
      </c>
      <c r="C262" s="67">
        <v>-185000</v>
      </c>
      <c r="D262" s="220" t="s">
        <v>803</v>
      </c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>
        <v>185000</v>
      </c>
      <c r="AZ262" s="14"/>
      <c r="BA262" s="14"/>
      <c r="BB262" s="14"/>
      <c r="BC262" s="14"/>
      <c r="BD262" s="14"/>
      <c r="BE262" s="14"/>
      <c r="BF262" s="14"/>
      <c r="BG262" s="14"/>
    </row>
    <row r="263" spans="1:155" x14ac:dyDescent="0.25">
      <c r="A263" s="195" t="s">
        <v>543</v>
      </c>
      <c r="B263" s="18" t="s">
        <v>560</v>
      </c>
      <c r="C263" s="69">
        <v>-173</v>
      </c>
      <c r="D263" s="220" t="s">
        <v>804</v>
      </c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EP263" s="1">
        <v>173</v>
      </c>
    </row>
    <row r="264" spans="1:155" x14ac:dyDescent="0.25">
      <c r="A264" s="195" t="s">
        <v>543</v>
      </c>
      <c r="B264" s="18" t="s">
        <v>828</v>
      </c>
      <c r="C264" s="67">
        <v>-155100</v>
      </c>
      <c r="D264" s="220" t="s">
        <v>805</v>
      </c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>
        <v>155100</v>
      </c>
      <c r="BD264" s="14"/>
      <c r="BE264" s="14"/>
      <c r="BF264" s="14"/>
      <c r="BG264" s="14"/>
    </row>
    <row r="265" spans="1:155" x14ac:dyDescent="0.25">
      <c r="A265" s="195" t="s">
        <v>543</v>
      </c>
      <c r="B265" s="18" t="s">
        <v>829</v>
      </c>
      <c r="C265" s="67">
        <v>-115</v>
      </c>
      <c r="D265" s="220" t="s">
        <v>806</v>
      </c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EP265" s="1">
        <v>115</v>
      </c>
    </row>
    <row r="266" spans="1:155" x14ac:dyDescent="0.25">
      <c r="A266" s="195" t="s">
        <v>544</v>
      </c>
      <c r="B266" s="18" t="s">
        <v>833</v>
      </c>
      <c r="C266" s="67">
        <v>-36500</v>
      </c>
      <c r="D266" s="220" t="s">
        <v>780</v>
      </c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>
        <v>36500</v>
      </c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</row>
    <row r="267" spans="1:155" x14ac:dyDescent="0.25">
      <c r="A267" s="195" t="s">
        <v>544</v>
      </c>
      <c r="B267" s="18" t="s">
        <v>834</v>
      </c>
      <c r="C267" s="67">
        <v>-48000</v>
      </c>
      <c r="D267" s="220" t="s">
        <v>807</v>
      </c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>
        <v>48000</v>
      </c>
      <c r="BG267" s="14"/>
    </row>
    <row r="268" spans="1:155" x14ac:dyDescent="0.25">
      <c r="A268" s="195" t="s">
        <v>544</v>
      </c>
      <c r="B268" s="18" t="s">
        <v>835</v>
      </c>
      <c r="C268" s="63">
        <v>-25000</v>
      </c>
      <c r="D268" s="220" t="s">
        <v>808</v>
      </c>
      <c r="Z268" s="14"/>
      <c r="AA268" s="14"/>
      <c r="AB268" s="14"/>
      <c r="AC268" s="14"/>
      <c r="AD268" s="14"/>
      <c r="AE268" s="14"/>
      <c r="AF268" s="14"/>
      <c r="AG268" s="14"/>
      <c r="AH268" s="14">
        <v>25000</v>
      </c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</row>
    <row r="269" spans="1:155" x14ac:dyDescent="0.25">
      <c r="A269" s="195" t="s">
        <v>544</v>
      </c>
      <c r="B269" s="18" t="s">
        <v>836</v>
      </c>
      <c r="C269" s="63">
        <v>-25000</v>
      </c>
      <c r="D269" s="220" t="s">
        <v>809</v>
      </c>
      <c r="Z269" s="14"/>
      <c r="AA269" s="14"/>
      <c r="AB269" s="14"/>
      <c r="AC269" s="14"/>
      <c r="AD269" s="14"/>
      <c r="AE269" s="14"/>
      <c r="AF269" s="14"/>
      <c r="AG269" s="14">
        <v>25000</v>
      </c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</row>
    <row r="270" spans="1:155" x14ac:dyDescent="0.25">
      <c r="A270" s="195" t="s">
        <v>557</v>
      </c>
      <c r="B270" s="18" t="s">
        <v>837</v>
      </c>
      <c r="C270" s="63">
        <v>-221364</v>
      </c>
      <c r="D270" s="220" t="s">
        <v>810</v>
      </c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DC270" s="1">
        <v>221364</v>
      </c>
    </row>
    <row r="271" spans="1:155" s="58" customFormat="1" x14ac:dyDescent="0.25">
      <c r="A271" s="196" t="s">
        <v>557</v>
      </c>
      <c r="B271" s="84" t="s">
        <v>842</v>
      </c>
      <c r="C271" s="115"/>
      <c r="D271" s="221" t="s">
        <v>841</v>
      </c>
      <c r="E271" s="249"/>
      <c r="F271" s="262"/>
      <c r="G271" s="262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DS271" s="56"/>
      <c r="DT271" s="56"/>
      <c r="DU271" s="56"/>
    </row>
    <row r="272" spans="1:155" x14ac:dyDescent="0.25">
      <c r="B272" s="18" t="s">
        <v>838</v>
      </c>
      <c r="C272" s="114"/>
      <c r="S272" s="1">
        <v>-12000</v>
      </c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DC272" s="1">
        <v>12000</v>
      </c>
    </row>
    <row r="273" spans="1:186" x14ac:dyDescent="0.25">
      <c r="A273" s="228"/>
      <c r="B273" s="18" t="s">
        <v>2101</v>
      </c>
      <c r="C273" s="228"/>
      <c r="D273" s="228"/>
      <c r="V273" s="1">
        <v>-8000</v>
      </c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DC273" s="1">
        <v>8000</v>
      </c>
    </row>
    <row r="274" spans="1:186" x14ac:dyDescent="0.25">
      <c r="B274" s="18" t="s">
        <v>839</v>
      </c>
      <c r="C274" s="114"/>
      <c r="W274" s="1">
        <v>-5000</v>
      </c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DC274" s="1">
        <v>5000</v>
      </c>
    </row>
    <row r="275" spans="1:186" x14ac:dyDescent="0.25">
      <c r="B275" s="18" t="s">
        <v>840</v>
      </c>
      <c r="C275" s="114"/>
      <c r="Y275" s="1">
        <v>-12000</v>
      </c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DC275" s="1">
        <v>12000</v>
      </c>
    </row>
    <row r="276" spans="1:186" x14ac:dyDescent="0.25">
      <c r="A276" s="195" t="s">
        <v>557</v>
      </c>
      <c r="B276" s="18" t="s">
        <v>848</v>
      </c>
      <c r="C276" s="11">
        <v>-13000</v>
      </c>
      <c r="D276" s="220" t="s">
        <v>811</v>
      </c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>
        <v>13000</v>
      </c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</row>
    <row r="277" spans="1:186" x14ac:dyDescent="0.25">
      <c r="A277" s="195" t="s">
        <v>558</v>
      </c>
      <c r="B277" s="18" t="s">
        <v>849</v>
      </c>
      <c r="C277" s="11">
        <v>-61000</v>
      </c>
      <c r="D277" s="220" t="s">
        <v>812</v>
      </c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">
        <v>61000</v>
      </c>
    </row>
    <row r="278" spans="1:186" x14ac:dyDescent="0.25">
      <c r="A278" s="195" t="s">
        <v>561</v>
      </c>
      <c r="B278" s="18" t="s">
        <v>562</v>
      </c>
      <c r="C278" s="11">
        <v>-8000</v>
      </c>
      <c r="D278" s="220" t="s">
        <v>813</v>
      </c>
      <c r="T278" s="1">
        <v>8000</v>
      </c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</row>
    <row r="279" spans="1:186" s="4" customFormat="1" x14ac:dyDescent="0.25">
      <c r="A279" s="10" t="s">
        <v>561</v>
      </c>
      <c r="B279" s="32" t="s">
        <v>563</v>
      </c>
      <c r="C279" s="10">
        <v>-2000</v>
      </c>
      <c r="D279" s="10" t="s">
        <v>814</v>
      </c>
      <c r="E279" s="248"/>
      <c r="F279" s="261"/>
      <c r="G279" s="261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4">
        <v>2000</v>
      </c>
      <c r="DS279" s="12"/>
      <c r="DT279" s="12"/>
      <c r="DU279" s="12"/>
    </row>
    <row r="280" spans="1:186" x14ac:dyDescent="0.25">
      <c r="A280" s="195" t="s">
        <v>561</v>
      </c>
      <c r="B280" s="18" t="s">
        <v>564</v>
      </c>
      <c r="C280" s="11">
        <v>-200</v>
      </c>
      <c r="D280" s="220" t="s">
        <v>815</v>
      </c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EY280" s="1">
        <v>200</v>
      </c>
    </row>
    <row r="281" spans="1:186" x14ac:dyDescent="0.25">
      <c r="A281" s="195" t="s">
        <v>568</v>
      </c>
      <c r="B281" s="18" t="s">
        <v>850</v>
      </c>
      <c r="C281" s="11">
        <v>-100000</v>
      </c>
      <c r="D281" s="220" t="s">
        <v>816</v>
      </c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>
        <v>100000</v>
      </c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</row>
    <row r="282" spans="1:186" s="4" customFormat="1" x14ac:dyDescent="0.25">
      <c r="A282" s="10" t="s">
        <v>570</v>
      </c>
      <c r="B282" s="32" t="s">
        <v>851</v>
      </c>
      <c r="C282" s="10">
        <v>-20000</v>
      </c>
      <c r="D282" s="10" t="s">
        <v>817</v>
      </c>
      <c r="E282" s="248"/>
      <c r="F282" s="261"/>
      <c r="G282" s="261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>
        <v>20000</v>
      </c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DS282" s="12"/>
      <c r="DT282" s="12"/>
      <c r="DU282" s="12"/>
    </row>
    <row r="283" spans="1:186" s="4" customFormat="1" x14ac:dyDescent="0.25">
      <c r="A283" s="10" t="s">
        <v>570</v>
      </c>
      <c r="B283" s="32" t="s">
        <v>572</v>
      </c>
      <c r="C283" s="10">
        <v>-400</v>
      </c>
      <c r="D283" s="10" t="s">
        <v>818</v>
      </c>
      <c r="E283" s="248"/>
      <c r="F283" s="261"/>
      <c r="G283" s="261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DS283" s="12"/>
      <c r="DT283" s="12"/>
      <c r="DU283" s="12"/>
      <c r="EY283" s="4">
        <v>400</v>
      </c>
    </row>
    <row r="284" spans="1:186" x14ac:dyDescent="0.25">
      <c r="A284" s="195" t="s">
        <v>571</v>
      </c>
      <c r="B284" s="18" t="s">
        <v>852</v>
      </c>
      <c r="C284" s="73">
        <v>-115000</v>
      </c>
      <c r="D284" s="220" t="s">
        <v>819</v>
      </c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>
        <v>115000</v>
      </c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</row>
    <row r="285" spans="1:186" x14ac:dyDescent="0.25">
      <c r="A285" s="195" t="s">
        <v>575</v>
      </c>
      <c r="B285" s="18" t="s">
        <v>540</v>
      </c>
      <c r="C285" s="75">
        <v>-25000</v>
      </c>
      <c r="D285" s="220" t="s">
        <v>820</v>
      </c>
      <c r="Z285" s="14"/>
      <c r="AA285" s="14"/>
      <c r="AB285" s="14"/>
      <c r="AC285" s="14"/>
      <c r="AD285" s="14"/>
      <c r="AE285" s="14"/>
      <c r="AF285" s="14"/>
      <c r="AG285" s="14"/>
      <c r="AH285" s="14">
        <v>25000</v>
      </c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</row>
    <row r="286" spans="1:186" x14ac:dyDescent="0.25">
      <c r="A286" s="195" t="s">
        <v>575</v>
      </c>
      <c r="B286" s="18" t="s">
        <v>576</v>
      </c>
      <c r="C286" s="75">
        <v>-23</v>
      </c>
      <c r="D286" s="220" t="s">
        <v>821</v>
      </c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EP286" s="1">
        <v>23</v>
      </c>
    </row>
    <row r="287" spans="1:186" s="4" customFormat="1" x14ac:dyDescent="0.25">
      <c r="A287" s="10" t="s">
        <v>577</v>
      </c>
      <c r="B287" s="32" t="s">
        <v>854</v>
      </c>
      <c r="C287" s="10">
        <v>1200000</v>
      </c>
      <c r="D287" s="10" t="s">
        <v>853</v>
      </c>
      <c r="E287" s="248"/>
      <c r="F287" s="261"/>
      <c r="G287" s="261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DS287" s="12"/>
      <c r="DT287" s="12"/>
      <c r="DU287" s="12"/>
      <c r="GD287" s="4">
        <v>1200000</v>
      </c>
    </row>
    <row r="288" spans="1:186" x14ac:dyDescent="0.25">
      <c r="A288" s="11" t="s">
        <v>577</v>
      </c>
      <c r="B288" s="18" t="s">
        <v>865</v>
      </c>
      <c r="C288" s="76">
        <v>-104000</v>
      </c>
      <c r="D288" s="220" t="s">
        <v>855</v>
      </c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>
        <v>104000</v>
      </c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</row>
    <row r="289" spans="1:178" x14ac:dyDescent="0.25">
      <c r="A289" s="11" t="s">
        <v>577</v>
      </c>
      <c r="B289" s="18" t="s">
        <v>580</v>
      </c>
      <c r="C289" s="76">
        <v>-65</v>
      </c>
      <c r="D289" s="220" t="s">
        <v>856</v>
      </c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EK289" s="1">
        <v>65</v>
      </c>
    </row>
    <row r="290" spans="1:178" s="4" customFormat="1" x14ac:dyDescent="0.25">
      <c r="A290" s="10" t="s">
        <v>577</v>
      </c>
      <c r="B290" s="32" t="s">
        <v>867</v>
      </c>
      <c r="C290" s="10">
        <v>-3000</v>
      </c>
      <c r="D290" s="10" t="s">
        <v>857</v>
      </c>
      <c r="E290" s="248"/>
      <c r="F290" s="261"/>
      <c r="G290" s="261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DS290" s="12"/>
      <c r="DT290" s="12"/>
      <c r="DU290" s="12"/>
      <c r="FV290" s="4">
        <v>3000</v>
      </c>
    </row>
    <row r="291" spans="1:178" x14ac:dyDescent="0.25">
      <c r="A291" s="195" t="s">
        <v>578</v>
      </c>
      <c r="B291" s="18" t="s">
        <v>866</v>
      </c>
      <c r="C291" s="77">
        <v>-8000</v>
      </c>
      <c r="D291" s="220" t="s">
        <v>858</v>
      </c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FV291" s="1">
        <v>8000</v>
      </c>
    </row>
    <row r="292" spans="1:178" x14ac:dyDescent="0.25">
      <c r="A292" s="195" t="s">
        <v>578</v>
      </c>
      <c r="B292" s="18" t="s">
        <v>579</v>
      </c>
      <c r="C292" s="77">
        <v>-160</v>
      </c>
      <c r="D292" s="220" t="s">
        <v>859</v>
      </c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EY292" s="1">
        <v>160</v>
      </c>
    </row>
    <row r="293" spans="1:178" x14ac:dyDescent="0.25">
      <c r="A293" s="195" t="s">
        <v>578</v>
      </c>
      <c r="B293" s="18" t="s">
        <v>868</v>
      </c>
      <c r="C293" s="77">
        <v>-500000</v>
      </c>
      <c r="D293" s="220" t="s">
        <v>860</v>
      </c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>
        <v>500000</v>
      </c>
      <c r="BE293" s="14"/>
      <c r="BF293" s="14"/>
      <c r="BG293" s="14"/>
    </row>
    <row r="294" spans="1:178" x14ac:dyDescent="0.25">
      <c r="A294" s="195" t="s">
        <v>578</v>
      </c>
      <c r="B294" s="18" t="s">
        <v>869</v>
      </c>
      <c r="C294" s="77">
        <v>-52000</v>
      </c>
      <c r="D294" s="220" t="s">
        <v>861</v>
      </c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>
        <v>52000</v>
      </c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</row>
    <row r="295" spans="1:178" x14ac:dyDescent="0.25">
      <c r="A295" s="195" t="s">
        <v>578</v>
      </c>
      <c r="B295" s="18" t="s">
        <v>581</v>
      </c>
      <c r="C295" s="77">
        <v>-64000</v>
      </c>
      <c r="D295" s="220" t="s">
        <v>862</v>
      </c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DC295" s="1">
        <v>64000</v>
      </c>
    </row>
    <row r="296" spans="1:178" x14ac:dyDescent="0.25">
      <c r="A296" s="195" t="s">
        <v>578</v>
      </c>
      <c r="B296" s="18" t="s">
        <v>582</v>
      </c>
      <c r="C296" s="77">
        <v>-115</v>
      </c>
      <c r="D296" s="220" t="s">
        <v>863</v>
      </c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DF296" s="1">
        <v>115</v>
      </c>
    </row>
    <row r="297" spans="1:178" x14ac:dyDescent="0.25">
      <c r="A297" s="195" t="s">
        <v>578</v>
      </c>
      <c r="B297" s="18" t="s">
        <v>583</v>
      </c>
      <c r="C297" s="77">
        <v>-27</v>
      </c>
      <c r="D297" s="220" t="s">
        <v>864</v>
      </c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CO297" s="1">
        <v>27</v>
      </c>
    </row>
    <row r="298" spans="1:178" s="7" customFormat="1" x14ac:dyDescent="0.25">
      <c r="A298" s="11" t="s">
        <v>578</v>
      </c>
      <c r="B298" s="41" t="s">
        <v>951</v>
      </c>
      <c r="C298" s="11">
        <v>-770</v>
      </c>
      <c r="D298" s="11" t="s">
        <v>874</v>
      </c>
      <c r="E298" s="11"/>
      <c r="F298" s="11"/>
      <c r="G298" s="11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>
        <f>-11000-3000-1500</f>
        <v>-15500</v>
      </c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DS298" s="14"/>
      <c r="DT298" s="14"/>
      <c r="DU298" s="14"/>
    </row>
    <row r="299" spans="1:178" s="7" customFormat="1" x14ac:dyDescent="0.25">
      <c r="A299" s="11"/>
      <c r="B299" s="41" t="s">
        <v>870</v>
      </c>
      <c r="C299" s="11"/>
      <c r="D299" s="11"/>
      <c r="E299" s="11"/>
      <c r="F299" s="11"/>
      <c r="G299" s="11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>
        <v>11000</v>
      </c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DS299" s="14"/>
      <c r="DT299" s="14"/>
      <c r="DU299" s="14"/>
    </row>
    <row r="300" spans="1:178" s="7" customFormat="1" x14ac:dyDescent="0.25">
      <c r="A300" s="11"/>
      <c r="B300" s="41" t="s">
        <v>721</v>
      </c>
      <c r="C300" s="11"/>
      <c r="D300" s="11"/>
      <c r="E300" s="11"/>
      <c r="F300" s="11"/>
      <c r="G300" s="11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DS300" s="14"/>
      <c r="DT300" s="14"/>
      <c r="DU300" s="14"/>
      <c r="EK300" s="7">
        <f>950+300+50+30+20</f>
        <v>1350</v>
      </c>
    </row>
    <row r="301" spans="1:178" s="7" customFormat="1" x14ac:dyDescent="0.25">
      <c r="A301" s="11"/>
      <c r="B301" s="41" t="s">
        <v>873</v>
      </c>
      <c r="C301" s="11"/>
      <c r="D301" s="11"/>
      <c r="E301" s="11"/>
      <c r="F301" s="11"/>
      <c r="G301" s="11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DS301" s="14"/>
      <c r="DT301" s="14"/>
      <c r="DU301" s="14"/>
      <c r="FD301" s="7">
        <f>500+500+500</f>
        <v>1500</v>
      </c>
    </row>
    <row r="302" spans="1:178" s="7" customFormat="1" x14ac:dyDescent="0.25">
      <c r="A302" s="11"/>
      <c r="B302" s="41" t="s">
        <v>722</v>
      </c>
      <c r="C302" s="11"/>
      <c r="D302" s="11"/>
      <c r="E302" s="11"/>
      <c r="F302" s="11"/>
      <c r="G302" s="11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DS302" s="14"/>
      <c r="DT302" s="14"/>
      <c r="DU302" s="14"/>
      <c r="FE302" s="7">
        <f>450+400+380+240+320+310+320</f>
        <v>2420</v>
      </c>
    </row>
    <row r="303" spans="1:178" s="4" customFormat="1" x14ac:dyDescent="0.25">
      <c r="A303" s="10" t="s">
        <v>578</v>
      </c>
      <c r="B303" s="32" t="s">
        <v>599</v>
      </c>
      <c r="C303" s="10">
        <v>-8230</v>
      </c>
      <c r="D303" s="10" t="s">
        <v>879</v>
      </c>
      <c r="E303" s="248"/>
      <c r="F303" s="261"/>
      <c r="G303" s="261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>
        <v>8230</v>
      </c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DS303" s="12"/>
      <c r="DT303" s="12"/>
      <c r="DU303" s="12"/>
    </row>
    <row r="304" spans="1:178" s="4" customFormat="1" x14ac:dyDescent="0.25">
      <c r="A304" s="10" t="s">
        <v>578</v>
      </c>
      <c r="B304" s="32" t="s">
        <v>600</v>
      </c>
      <c r="C304" s="4">
        <v>-180</v>
      </c>
      <c r="D304" s="10" t="s">
        <v>880</v>
      </c>
      <c r="E304" s="248"/>
      <c r="F304" s="261"/>
      <c r="G304" s="261"/>
      <c r="DS304" s="12"/>
      <c r="DT304" s="12"/>
      <c r="DU304" s="12"/>
      <c r="EY304" s="4">
        <v>180</v>
      </c>
    </row>
    <row r="305" spans="1:172" s="4" customFormat="1" x14ac:dyDescent="0.25">
      <c r="A305" s="10" t="s">
        <v>578</v>
      </c>
      <c r="B305" s="32" t="s">
        <v>619</v>
      </c>
      <c r="C305" s="10"/>
      <c r="D305" s="10" t="s">
        <v>973</v>
      </c>
      <c r="E305" s="248"/>
      <c r="F305" s="261"/>
      <c r="G305" s="261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>
        <v>-155100</v>
      </c>
      <c r="BD305" s="12"/>
      <c r="BE305" s="12"/>
      <c r="BF305" s="12"/>
      <c r="BG305" s="12"/>
      <c r="DS305" s="12"/>
      <c r="DT305" s="12"/>
      <c r="DU305" s="12"/>
    </row>
    <row r="306" spans="1:172" s="4" customFormat="1" x14ac:dyDescent="0.25">
      <c r="A306" s="10"/>
      <c r="B306" s="32" t="s">
        <v>971</v>
      </c>
      <c r="C306" s="10"/>
      <c r="D306" s="10"/>
      <c r="E306" s="248"/>
      <c r="F306" s="261"/>
      <c r="G306" s="261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DL306" s="4">
        <v>155100</v>
      </c>
      <c r="DS306" s="12"/>
      <c r="DT306" s="12"/>
      <c r="DU306" s="12"/>
    </row>
    <row r="307" spans="1:172" s="4" customFormat="1" x14ac:dyDescent="0.25">
      <c r="A307" s="10" t="s">
        <v>578</v>
      </c>
      <c r="B307" s="32" t="s">
        <v>952</v>
      </c>
      <c r="C307" s="10">
        <f>-9675+2664</f>
        <v>-7011</v>
      </c>
      <c r="D307" s="10" t="s">
        <v>972</v>
      </c>
      <c r="E307" s="248"/>
      <c r="F307" s="261"/>
      <c r="G307" s="261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4">
        <v>-558000</v>
      </c>
      <c r="DS307" s="12"/>
      <c r="DT307" s="12"/>
      <c r="DU307" s="12"/>
    </row>
    <row r="308" spans="1:172" s="7" customFormat="1" x14ac:dyDescent="0.25">
      <c r="A308" s="11"/>
      <c r="B308" s="41" t="s">
        <v>953</v>
      </c>
      <c r="C308" s="11"/>
      <c r="D308" s="11"/>
      <c r="E308" s="11"/>
      <c r="F308" s="11"/>
      <c r="G308" s="11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DS308" s="14"/>
      <c r="DT308" s="14"/>
      <c r="DU308" s="14"/>
    </row>
    <row r="309" spans="1:172" s="7" customFormat="1" x14ac:dyDescent="0.25">
      <c r="A309" s="11"/>
      <c r="B309" s="41" t="s">
        <v>955</v>
      </c>
      <c r="C309" s="11"/>
      <c r="D309" s="11"/>
      <c r="E309" s="11"/>
      <c r="F309" s="11"/>
      <c r="G309" s="11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56">
        <f>30000+25000</f>
        <v>55000</v>
      </c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DS309" s="14"/>
      <c r="DT309" s="14"/>
      <c r="DU309" s="14"/>
    </row>
    <row r="310" spans="1:172" s="7" customFormat="1" x14ac:dyDescent="0.25">
      <c r="A310" s="11"/>
      <c r="B310" s="41" t="s">
        <v>956</v>
      </c>
      <c r="C310" s="11"/>
      <c r="D310" s="11"/>
      <c r="E310" s="11"/>
      <c r="F310" s="11"/>
      <c r="G310" s="11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56">
        <v>2300</v>
      </c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DS310" s="14"/>
      <c r="DT310" s="14"/>
      <c r="DU310" s="14"/>
    </row>
    <row r="311" spans="1:172" s="7" customFormat="1" x14ac:dyDescent="0.25">
      <c r="A311" s="11"/>
      <c r="B311" s="41" t="s">
        <v>976</v>
      </c>
      <c r="C311" s="11"/>
      <c r="D311" s="11"/>
      <c r="E311" s="11"/>
      <c r="F311" s="11"/>
      <c r="G311" s="11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DS311" s="14"/>
      <c r="DT311" s="14"/>
      <c r="DU311" s="14"/>
      <c r="FE311" s="58">
        <f>590+630+485+520+355+600+570+540+540+515+550+520+580+680+530+630+605+360</f>
        <v>9800</v>
      </c>
    </row>
    <row r="312" spans="1:172" s="7" customFormat="1" x14ac:dyDescent="0.25">
      <c r="A312" s="11"/>
      <c r="B312" s="41" t="s">
        <v>963</v>
      </c>
      <c r="C312" s="11"/>
      <c r="D312" s="11"/>
      <c r="E312" s="11"/>
      <c r="F312" s="11"/>
      <c r="G312" s="11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DS312" s="14"/>
      <c r="DT312" s="14"/>
      <c r="DU312" s="14"/>
      <c r="EH312" s="58">
        <v>500</v>
      </c>
      <c r="EI312" s="58"/>
    </row>
    <row r="313" spans="1:172" s="7" customFormat="1" ht="30" x14ac:dyDescent="0.25">
      <c r="A313" s="11"/>
      <c r="B313" s="98" t="s">
        <v>964</v>
      </c>
      <c r="C313" s="11"/>
      <c r="D313" s="11"/>
      <c r="E313" s="11"/>
      <c r="F313" s="11"/>
      <c r="G313" s="11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DL313" s="131">
        <f>180+1600+300+500</f>
        <v>2580</v>
      </c>
      <c r="DM313" s="131"/>
      <c r="DN313" s="131"/>
      <c r="DS313" s="14"/>
      <c r="DT313" s="14"/>
      <c r="DU313" s="14"/>
      <c r="FM313" s="58">
        <v>35848</v>
      </c>
      <c r="FN313" s="58">
        <f>6500+2500</f>
        <v>9000</v>
      </c>
      <c r="FO313" s="7">
        <v>145000</v>
      </c>
      <c r="FP313" s="58">
        <f>60150</f>
        <v>60150</v>
      </c>
    </row>
    <row r="314" spans="1:172" s="7" customFormat="1" x14ac:dyDescent="0.25">
      <c r="A314" s="11"/>
      <c r="B314" s="41" t="s">
        <v>957</v>
      </c>
      <c r="C314" s="11"/>
      <c r="D314" s="11"/>
      <c r="E314" s="11"/>
      <c r="F314" s="11"/>
      <c r="G314" s="11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DS314" s="14"/>
      <c r="DT314" s="14"/>
      <c r="DU314" s="14"/>
      <c r="FO314" s="7">
        <v>2000</v>
      </c>
    </row>
    <row r="315" spans="1:172" s="7" customFormat="1" x14ac:dyDescent="0.25">
      <c r="A315" s="11"/>
      <c r="B315" s="41" t="s">
        <v>980</v>
      </c>
      <c r="C315" s="11"/>
      <c r="D315" s="11"/>
      <c r="E315" s="11"/>
      <c r="F315" s="11"/>
      <c r="G315" s="11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DS315" s="14"/>
      <c r="DT315" s="14"/>
      <c r="DU315" s="14"/>
      <c r="FO315" s="7">
        <v>12000</v>
      </c>
      <c r="FP315" s="7">
        <v>1500</v>
      </c>
    </row>
    <row r="316" spans="1:172" s="7" customFormat="1" x14ac:dyDescent="0.25">
      <c r="A316" s="11"/>
      <c r="B316" s="41" t="s">
        <v>1250</v>
      </c>
      <c r="C316" s="11"/>
      <c r="D316" s="11"/>
      <c r="E316" s="11"/>
      <c r="F316" s="11"/>
      <c r="G316" s="11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DS316" s="14"/>
      <c r="DT316" s="14"/>
      <c r="DU316" s="14"/>
      <c r="EN316" s="58">
        <v>105000</v>
      </c>
      <c r="FA316" s="58">
        <f>9600+9200</f>
        <v>18800</v>
      </c>
      <c r="FB316" s="58">
        <f>10800+66300</f>
        <v>77100</v>
      </c>
      <c r="FC316" s="58">
        <f>336+384+648</f>
        <v>1368</v>
      </c>
    </row>
    <row r="317" spans="1:172" s="7" customFormat="1" x14ac:dyDescent="0.25">
      <c r="A317" s="11"/>
      <c r="B317" s="41" t="s">
        <v>965</v>
      </c>
      <c r="C317" s="11"/>
      <c r="D317" s="11"/>
      <c r="E317" s="11"/>
      <c r="F317" s="11"/>
      <c r="G317" s="11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DS317" s="14"/>
      <c r="DT317" s="14"/>
      <c r="DU317" s="14"/>
      <c r="EL317" s="58">
        <f>85+35+200+35+150+40+20+20+600</f>
        <v>1185</v>
      </c>
    </row>
    <row r="318" spans="1:172" s="7" customFormat="1" x14ac:dyDescent="0.25">
      <c r="A318" s="11"/>
      <c r="B318" s="41" t="s">
        <v>959</v>
      </c>
      <c r="C318" s="11"/>
      <c r="D318" s="11"/>
      <c r="E318" s="11"/>
      <c r="F318" s="11"/>
      <c r="G318" s="11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DS318" s="14"/>
      <c r="DT318" s="14"/>
      <c r="DU318" s="14"/>
      <c r="EF318" s="58">
        <v>105</v>
      </c>
    </row>
    <row r="319" spans="1:172" s="7" customFormat="1" x14ac:dyDescent="0.25">
      <c r="A319" s="11"/>
      <c r="B319" s="41" t="s">
        <v>1251</v>
      </c>
      <c r="C319" s="11"/>
      <c r="D319" s="11"/>
      <c r="E319" s="11"/>
      <c r="F319" s="11"/>
      <c r="G319" s="11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DS319" s="14"/>
      <c r="DT319" s="14"/>
      <c r="DU319" s="14"/>
      <c r="EM319" s="7">
        <f>500+100</f>
        <v>600</v>
      </c>
    </row>
    <row r="320" spans="1:172" s="7" customFormat="1" x14ac:dyDescent="0.25">
      <c r="A320" s="11"/>
      <c r="B320" s="41" t="s">
        <v>966</v>
      </c>
      <c r="C320" s="11"/>
      <c r="D320" s="11"/>
      <c r="E320" s="11"/>
      <c r="F320" s="11"/>
      <c r="G320" s="11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DS320" s="14"/>
      <c r="DT320" s="14"/>
      <c r="DU320" s="14"/>
      <c r="EK320" s="58">
        <f>130+45+60+100+572+100+85+20+20+10+90+30+30+533</f>
        <v>1825</v>
      </c>
    </row>
    <row r="321" spans="1:168" s="7" customFormat="1" x14ac:dyDescent="0.25">
      <c r="A321" s="11"/>
      <c r="B321" s="41" t="s">
        <v>961</v>
      </c>
      <c r="C321" s="11"/>
      <c r="D321" s="11"/>
      <c r="E321" s="11"/>
      <c r="F321" s="11"/>
      <c r="G321" s="11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DS321" s="14"/>
      <c r="DT321" s="14"/>
      <c r="DU321" s="14"/>
      <c r="EU321" s="58">
        <f>7000+1100</f>
        <v>8100</v>
      </c>
      <c r="EV321" s="58">
        <v>1250</v>
      </c>
      <c r="EW321" s="58">
        <v>600</v>
      </c>
      <c r="EX321" s="58"/>
    </row>
    <row r="322" spans="1:168" s="7" customFormat="1" x14ac:dyDescent="0.25">
      <c r="A322" s="11"/>
      <c r="B322" s="41" t="s">
        <v>967</v>
      </c>
      <c r="C322" s="11"/>
      <c r="D322" s="11"/>
      <c r="E322" s="11"/>
      <c r="F322" s="11"/>
      <c r="G322" s="11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DS322" s="14"/>
      <c r="DT322" s="14"/>
      <c r="DU322" s="14"/>
      <c r="EO322" s="58">
        <f>12000</f>
        <v>12000</v>
      </c>
    </row>
    <row r="323" spans="1:168" s="7" customFormat="1" x14ac:dyDescent="0.25">
      <c r="A323" s="11"/>
      <c r="B323" s="41" t="s">
        <v>968</v>
      </c>
      <c r="C323" s="11"/>
      <c r="D323" s="11"/>
      <c r="E323" s="11"/>
      <c r="F323" s="11"/>
      <c r="G323" s="11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DS323" s="14"/>
      <c r="DT323" s="14"/>
      <c r="DU323" s="14"/>
      <c r="EO323" s="58"/>
      <c r="FL323" s="58">
        <f>290+100</f>
        <v>390</v>
      </c>
    </row>
    <row r="324" spans="1:168" s="7" customFormat="1" x14ac:dyDescent="0.25">
      <c r="A324" s="11"/>
      <c r="B324" s="41" t="s">
        <v>969</v>
      </c>
      <c r="C324" s="11"/>
      <c r="D324" s="11"/>
      <c r="E324" s="11"/>
      <c r="F324" s="11"/>
      <c r="G324" s="11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DS324" s="14"/>
      <c r="DT324" s="14"/>
      <c r="DU324" s="14"/>
      <c r="EO324" s="58"/>
      <c r="ES324" s="58">
        <f>1000</f>
        <v>1000</v>
      </c>
    </row>
    <row r="325" spans="1:168" x14ac:dyDescent="0.25">
      <c r="A325" s="195" t="s">
        <v>584</v>
      </c>
      <c r="B325" s="18" t="s">
        <v>585</v>
      </c>
      <c r="C325" s="78">
        <v>-200000</v>
      </c>
      <c r="D325" s="220" t="s">
        <v>989</v>
      </c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>
        <v>200000</v>
      </c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</row>
    <row r="326" spans="1:168" x14ac:dyDescent="0.25">
      <c r="A326" s="195" t="s">
        <v>584</v>
      </c>
      <c r="B326" s="18" t="s">
        <v>588</v>
      </c>
      <c r="C326" s="78">
        <f>-15000-15000</f>
        <v>-30000</v>
      </c>
      <c r="D326" s="220" t="s">
        <v>993</v>
      </c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>
        <v>30000</v>
      </c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</row>
    <row r="327" spans="1:168" x14ac:dyDescent="0.25">
      <c r="A327" s="195" t="s">
        <v>584</v>
      </c>
      <c r="B327" s="18" t="s">
        <v>1146</v>
      </c>
      <c r="C327" s="79">
        <v>-15000</v>
      </c>
      <c r="D327" s="220" t="s">
        <v>994</v>
      </c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DK327" s="4">
        <v>15000</v>
      </c>
    </row>
    <row r="328" spans="1:168" x14ac:dyDescent="0.25">
      <c r="A328" s="195" t="s">
        <v>590</v>
      </c>
      <c r="B328" s="18" t="s">
        <v>633</v>
      </c>
      <c r="C328" s="79">
        <v>-10000</v>
      </c>
      <c r="D328" s="220" t="s">
        <v>995</v>
      </c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>
        <v>10000</v>
      </c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</row>
    <row r="329" spans="1:168" s="58" customFormat="1" x14ac:dyDescent="0.25">
      <c r="A329" s="196" t="s">
        <v>590</v>
      </c>
      <c r="B329" s="84" t="s">
        <v>1031</v>
      </c>
      <c r="C329" s="59"/>
      <c r="D329" s="221" t="s">
        <v>991</v>
      </c>
      <c r="E329" s="249"/>
      <c r="F329" s="262"/>
      <c r="G329" s="262"/>
      <c r="Z329" s="56"/>
      <c r="AA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>
        <v>-65000</v>
      </c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DS329" s="56"/>
      <c r="DT329" s="56"/>
      <c r="DU329" s="56"/>
    </row>
    <row r="330" spans="1:168" s="7" customFormat="1" x14ac:dyDescent="0.25">
      <c r="A330" s="11"/>
      <c r="B330" s="41" t="s">
        <v>990</v>
      </c>
      <c r="C330" s="11"/>
      <c r="D330" s="11"/>
      <c r="E330" s="11"/>
      <c r="F330" s="11"/>
      <c r="G330" s="11"/>
      <c r="Z330" s="14"/>
      <c r="AA330" s="14"/>
      <c r="AB330" s="56">
        <v>65000</v>
      </c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DS330" s="14"/>
      <c r="DT330" s="14"/>
      <c r="DU330" s="14"/>
    </row>
    <row r="331" spans="1:168" x14ac:dyDescent="0.25">
      <c r="A331" s="195" t="s">
        <v>586</v>
      </c>
      <c r="B331" s="18" t="s">
        <v>997</v>
      </c>
      <c r="C331" s="78">
        <v>-25000</v>
      </c>
      <c r="D331" s="220" t="s">
        <v>996</v>
      </c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>
        <v>25000</v>
      </c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</row>
    <row r="332" spans="1:168" x14ac:dyDescent="0.25">
      <c r="A332" s="195" t="s">
        <v>586</v>
      </c>
      <c r="B332" s="18" t="s">
        <v>587</v>
      </c>
      <c r="C332" s="78">
        <v>-500</v>
      </c>
      <c r="D332" s="220" t="s">
        <v>998</v>
      </c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EY332" s="1">
        <v>500</v>
      </c>
    </row>
    <row r="333" spans="1:168" x14ac:dyDescent="0.25">
      <c r="A333" s="195" t="s">
        <v>589</v>
      </c>
      <c r="B333" s="18" t="s">
        <v>1144</v>
      </c>
      <c r="C333" s="79">
        <f>-100000-50000</f>
        <v>-150000</v>
      </c>
      <c r="D333" s="220" t="s">
        <v>999</v>
      </c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>
        <v>150000</v>
      </c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</row>
    <row r="334" spans="1:168" x14ac:dyDescent="0.25">
      <c r="A334" s="195" t="s">
        <v>589</v>
      </c>
      <c r="B334" s="18" t="s">
        <v>592</v>
      </c>
      <c r="C334" s="1">
        <v>-7000</v>
      </c>
      <c r="D334" s="220" t="s">
        <v>1000</v>
      </c>
      <c r="DK334" s="1">
        <v>7000</v>
      </c>
    </row>
    <row r="335" spans="1:168" x14ac:dyDescent="0.25">
      <c r="A335" s="195" t="s">
        <v>589</v>
      </c>
      <c r="B335" s="18" t="s">
        <v>593</v>
      </c>
      <c r="C335" s="79">
        <v>-500</v>
      </c>
      <c r="D335" s="220" t="s">
        <v>1001</v>
      </c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ES335" s="1">
        <v>500</v>
      </c>
    </row>
    <row r="336" spans="1:168" x14ac:dyDescent="0.25">
      <c r="A336" s="195" t="s">
        <v>589</v>
      </c>
      <c r="B336" s="18" t="s">
        <v>598</v>
      </c>
      <c r="C336" s="79">
        <v>-300</v>
      </c>
      <c r="D336" s="220" t="s">
        <v>1002</v>
      </c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EM336" s="1">
        <v>300</v>
      </c>
    </row>
    <row r="337" spans="1:186" x14ac:dyDescent="0.25">
      <c r="A337" s="195" t="s">
        <v>589</v>
      </c>
      <c r="B337" s="18" t="s">
        <v>594</v>
      </c>
      <c r="C337" s="79">
        <v>-7500</v>
      </c>
      <c r="D337" s="220" t="s">
        <v>1003</v>
      </c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ES337" s="1">
        <v>7500</v>
      </c>
    </row>
    <row r="338" spans="1:186" x14ac:dyDescent="0.25">
      <c r="A338" s="195" t="s">
        <v>589</v>
      </c>
      <c r="B338" s="18" t="s">
        <v>595</v>
      </c>
      <c r="C338" s="79">
        <v>-1290</v>
      </c>
      <c r="D338" s="220" t="s">
        <v>1004</v>
      </c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EK338" s="1">
        <v>1290</v>
      </c>
    </row>
    <row r="339" spans="1:186" x14ac:dyDescent="0.25">
      <c r="A339" s="195" t="s">
        <v>601</v>
      </c>
      <c r="B339" s="18" t="s">
        <v>602</v>
      </c>
      <c r="C339" s="79">
        <v>-8000</v>
      </c>
      <c r="D339" s="220" t="s">
        <v>1005</v>
      </c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EZ339" s="1">
        <v>8000</v>
      </c>
    </row>
    <row r="340" spans="1:186" s="58" customFormat="1" x14ac:dyDescent="0.25">
      <c r="A340" s="196" t="s">
        <v>601</v>
      </c>
      <c r="B340" s="84" t="s">
        <v>1006</v>
      </c>
      <c r="C340" s="59">
        <v>200000</v>
      </c>
      <c r="D340" s="221" t="s">
        <v>1007</v>
      </c>
      <c r="E340" s="249"/>
      <c r="F340" s="262"/>
      <c r="G340" s="262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DS340" s="56"/>
      <c r="DT340" s="56"/>
      <c r="DU340" s="56"/>
      <c r="GD340" s="58">
        <v>200000</v>
      </c>
    </row>
    <row r="341" spans="1:186" x14ac:dyDescent="0.25">
      <c r="A341" s="195" t="s">
        <v>605</v>
      </c>
      <c r="B341" s="18" t="s">
        <v>1145</v>
      </c>
      <c r="C341" s="80">
        <v>-49000</v>
      </c>
      <c r="D341" s="220" t="s">
        <v>1008</v>
      </c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>
        <v>49000</v>
      </c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</row>
    <row r="342" spans="1:186" x14ac:dyDescent="0.25">
      <c r="A342" s="195" t="s">
        <v>605</v>
      </c>
      <c r="B342" s="18" t="s">
        <v>666</v>
      </c>
      <c r="C342" s="80">
        <v>-50000</v>
      </c>
      <c r="D342" s="220" t="s">
        <v>1009</v>
      </c>
      <c r="Z342" s="14"/>
      <c r="AA342" s="14"/>
      <c r="AB342" s="14">
        <v>50000</v>
      </c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</row>
    <row r="343" spans="1:186" x14ac:dyDescent="0.25">
      <c r="A343" s="195" t="s">
        <v>607</v>
      </c>
      <c r="B343" s="18" t="s">
        <v>608</v>
      </c>
      <c r="C343" s="82">
        <v>-200</v>
      </c>
      <c r="D343" s="220" t="s">
        <v>1010</v>
      </c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FE343" s="1">
        <v>200</v>
      </c>
    </row>
    <row r="344" spans="1:186" x14ac:dyDescent="0.25">
      <c r="A344" s="195" t="s">
        <v>607</v>
      </c>
      <c r="B344" s="18" t="s">
        <v>609</v>
      </c>
      <c r="C344" s="82">
        <v>-300</v>
      </c>
      <c r="D344" s="220" t="s">
        <v>1011</v>
      </c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EK344" s="1">
        <v>300</v>
      </c>
    </row>
    <row r="345" spans="1:186" x14ac:dyDescent="0.25">
      <c r="A345" s="195" t="s">
        <v>607</v>
      </c>
      <c r="B345" s="18" t="s">
        <v>637</v>
      </c>
      <c r="C345" s="82">
        <v>250000</v>
      </c>
      <c r="D345" s="220" t="s">
        <v>1012</v>
      </c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K345" s="1">
        <v>250000</v>
      </c>
    </row>
    <row r="346" spans="1:186" x14ac:dyDescent="0.25">
      <c r="A346" s="195" t="s">
        <v>607</v>
      </c>
      <c r="B346" s="18" t="s">
        <v>659</v>
      </c>
      <c r="C346" s="82">
        <v>-132000</v>
      </c>
      <c r="D346" s="220" t="s">
        <v>1013</v>
      </c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>
        <v>132000</v>
      </c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</row>
    <row r="347" spans="1:186" x14ac:dyDescent="0.25">
      <c r="A347" s="195" t="s">
        <v>625</v>
      </c>
      <c r="B347" s="18" t="s">
        <v>626</v>
      </c>
      <c r="C347" s="80">
        <v>-120000</v>
      </c>
      <c r="D347" s="220" t="s">
        <v>1014</v>
      </c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">
        <v>120000</v>
      </c>
    </row>
    <row r="348" spans="1:186" s="58" customFormat="1" x14ac:dyDescent="0.25">
      <c r="A348" s="196" t="s">
        <v>625</v>
      </c>
      <c r="B348" s="84" t="s">
        <v>2010</v>
      </c>
      <c r="C348" s="59"/>
      <c r="D348" s="221" t="s">
        <v>1016</v>
      </c>
      <c r="E348" s="249"/>
      <c r="F348" s="262"/>
      <c r="G348" s="262"/>
      <c r="Z348" s="56"/>
      <c r="AA348" s="56"/>
      <c r="AC348" s="56"/>
      <c r="AG348" s="56"/>
      <c r="AH348" s="56"/>
      <c r="AI348" s="56"/>
      <c r="AJ348" s="56"/>
      <c r="AK348" s="56"/>
      <c r="AL348" s="56">
        <v>-50000</v>
      </c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DS348" s="56"/>
      <c r="DT348" s="56"/>
      <c r="DU348" s="56"/>
    </row>
    <row r="349" spans="1:186" s="7" customFormat="1" x14ac:dyDescent="0.25">
      <c r="A349" s="11"/>
      <c r="B349" s="41" t="s">
        <v>953</v>
      </c>
      <c r="C349" s="11"/>
      <c r="D349" s="11"/>
      <c r="E349" s="11"/>
      <c r="F349" s="11"/>
      <c r="G349" s="11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DS349" s="14"/>
      <c r="DT349" s="14"/>
      <c r="DU349" s="14"/>
    </row>
    <row r="350" spans="1:186" s="7" customFormat="1" x14ac:dyDescent="0.25">
      <c r="A350" s="11"/>
      <c r="B350" s="41" t="s">
        <v>606</v>
      </c>
      <c r="C350" s="11"/>
      <c r="D350" s="11"/>
      <c r="E350" s="11"/>
      <c r="F350" s="11"/>
      <c r="G350" s="11"/>
      <c r="Z350" s="14"/>
      <c r="AA350" s="14"/>
      <c r="AB350" s="56">
        <v>45000</v>
      </c>
      <c r="AC350" s="14"/>
      <c r="AG350" s="14"/>
      <c r="AH350" s="14"/>
      <c r="AI350" s="14"/>
      <c r="AJ350" s="14"/>
      <c r="AK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DS350" s="14"/>
      <c r="DT350" s="14"/>
      <c r="DU350" s="14"/>
    </row>
    <row r="351" spans="1:186" s="7" customFormat="1" x14ac:dyDescent="0.25">
      <c r="A351" s="11"/>
      <c r="B351" s="41" t="s">
        <v>1015</v>
      </c>
      <c r="C351" s="11"/>
      <c r="D351" s="11"/>
      <c r="E351" s="11"/>
      <c r="F351" s="11"/>
      <c r="G351" s="11"/>
      <c r="Z351" s="14"/>
      <c r="AA351" s="14"/>
      <c r="AB351" s="14"/>
      <c r="AC351" s="14"/>
      <c r="AD351" s="56">
        <v>5000</v>
      </c>
      <c r="AE351" s="56"/>
      <c r="AF351" s="56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DS351" s="14"/>
      <c r="DT351" s="14"/>
      <c r="DU351" s="14"/>
    </row>
    <row r="352" spans="1:186" x14ac:dyDescent="0.25">
      <c r="A352" s="195" t="s">
        <v>625</v>
      </c>
      <c r="B352" s="18" t="s">
        <v>929</v>
      </c>
      <c r="C352" s="86">
        <v>-100000</v>
      </c>
      <c r="D352" s="220" t="s">
        <v>1018</v>
      </c>
      <c r="Z352" s="14"/>
      <c r="AA352" s="14"/>
      <c r="AB352" s="14"/>
      <c r="AC352" s="14"/>
      <c r="AD352" s="14"/>
      <c r="AE352" s="14"/>
      <c r="AF352" s="14"/>
      <c r="AG352" s="14"/>
      <c r="AH352" s="14">
        <v>100000</v>
      </c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</row>
    <row r="353" spans="1:199" x14ac:dyDescent="0.25">
      <c r="A353" s="195" t="s">
        <v>625</v>
      </c>
      <c r="B353" s="18" t="s">
        <v>576</v>
      </c>
      <c r="C353" s="86">
        <v>-58</v>
      </c>
      <c r="D353" s="220" t="s">
        <v>1019</v>
      </c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EP353" s="1">
        <v>58</v>
      </c>
    </row>
    <row r="354" spans="1:199" x14ac:dyDescent="0.25">
      <c r="A354" s="195" t="s">
        <v>625</v>
      </c>
      <c r="B354" s="18" t="s">
        <v>667</v>
      </c>
      <c r="C354" s="86">
        <v>-25000</v>
      </c>
      <c r="D354" s="220" t="s">
        <v>1020</v>
      </c>
      <c r="Z354" s="14"/>
      <c r="AA354" s="14"/>
      <c r="AB354" s="14">
        <v>25000</v>
      </c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</row>
    <row r="355" spans="1:199" x14ac:dyDescent="0.25">
      <c r="A355" s="195" t="s">
        <v>631</v>
      </c>
      <c r="B355" s="18" t="s">
        <v>637</v>
      </c>
      <c r="C355" s="79">
        <v>450000</v>
      </c>
      <c r="D355" s="221" t="s">
        <v>1021</v>
      </c>
      <c r="E355" s="249"/>
      <c r="F355" s="262"/>
      <c r="G355" s="262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K355" s="1">
        <v>450000</v>
      </c>
    </row>
    <row r="356" spans="1:199" x14ac:dyDescent="0.25">
      <c r="A356" s="195" t="s">
        <v>631</v>
      </c>
      <c r="B356" s="18" t="s">
        <v>636</v>
      </c>
      <c r="C356" s="88">
        <v>-30000</v>
      </c>
      <c r="D356" s="220" t="s">
        <v>1022</v>
      </c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>
        <v>30000</v>
      </c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</row>
    <row r="357" spans="1:199" x14ac:dyDescent="0.25">
      <c r="A357" s="195" t="s">
        <v>631</v>
      </c>
      <c r="B357" s="18" t="s">
        <v>1024</v>
      </c>
      <c r="C357" s="88">
        <v>-70000</v>
      </c>
      <c r="D357" s="220" t="s">
        <v>1023</v>
      </c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DO357" s="1">
        <v>70000</v>
      </c>
    </row>
    <row r="358" spans="1:199" x14ac:dyDescent="0.25">
      <c r="A358" s="195" t="s">
        <v>631</v>
      </c>
      <c r="B358" s="18" t="s">
        <v>659</v>
      </c>
      <c r="C358" s="88">
        <v>-132000</v>
      </c>
      <c r="D358" s="220" t="s">
        <v>1025</v>
      </c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>
        <v>132000</v>
      </c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</row>
    <row r="359" spans="1:199" x14ac:dyDescent="0.25">
      <c r="C359" s="88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</row>
    <row r="360" spans="1:199" x14ac:dyDescent="0.25">
      <c r="C360" s="76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</row>
    <row r="361" spans="1:199" s="3" customFormat="1" x14ac:dyDescent="0.25">
      <c r="A361" s="2"/>
      <c r="B361" s="85" t="s">
        <v>638</v>
      </c>
      <c r="C361" s="2">
        <f>SUM(C235:C360)</f>
        <v>376526</v>
      </c>
      <c r="D361" s="243">
        <f t="shared" ref="D361:BS361" si="17">SUM(D235:D360)</f>
        <v>0</v>
      </c>
      <c r="E361" s="246"/>
      <c r="F361" s="259"/>
      <c r="G361" s="259"/>
      <c r="H361" s="243">
        <f t="shared" si="17"/>
        <v>350000</v>
      </c>
      <c r="I361" s="243">
        <f t="shared" si="17"/>
        <v>0</v>
      </c>
      <c r="J361" s="243">
        <f t="shared" si="17"/>
        <v>0</v>
      </c>
      <c r="K361" s="243">
        <f t="shared" si="17"/>
        <v>0</v>
      </c>
      <c r="L361" s="243">
        <f t="shared" si="17"/>
        <v>0</v>
      </c>
      <c r="M361" s="243">
        <f t="shared" si="17"/>
        <v>0</v>
      </c>
      <c r="N361" s="243">
        <f t="shared" si="17"/>
        <v>0</v>
      </c>
      <c r="O361" s="243">
        <f t="shared" si="17"/>
        <v>0</v>
      </c>
      <c r="P361" s="243">
        <f t="shared" si="17"/>
        <v>0</v>
      </c>
      <c r="Q361" s="243">
        <f t="shared" si="17"/>
        <v>0</v>
      </c>
      <c r="R361" s="243">
        <f t="shared" si="17"/>
        <v>0</v>
      </c>
      <c r="S361" s="243">
        <f t="shared" si="17"/>
        <v>0</v>
      </c>
      <c r="T361" s="243">
        <f t="shared" si="17"/>
        <v>8000</v>
      </c>
      <c r="U361" s="243">
        <f t="shared" si="17"/>
        <v>0</v>
      </c>
      <c r="V361" s="243">
        <f t="shared" si="17"/>
        <v>0</v>
      </c>
      <c r="W361" s="243">
        <f t="shared" si="17"/>
        <v>0</v>
      </c>
      <c r="X361" s="243"/>
      <c r="Y361" s="243">
        <f t="shared" si="17"/>
        <v>0</v>
      </c>
      <c r="Z361" s="243">
        <f t="shared" si="17"/>
        <v>0</v>
      </c>
      <c r="AA361" s="243">
        <f t="shared" si="17"/>
        <v>0</v>
      </c>
      <c r="AB361" s="243">
        <f t="shared" si="17"/>
        <v>185000</v>
      </c>
      <c r="AC361" s="243">
        <f t="shared" si="17"/>
        <v>0</v>
      </c>
      <c r="AD361" s="243">
        <f t="shared" si="17"/>
        <v>5000</v>
      </c>
      <c r="AE361" s="243">
        <f t="shared" si="17"/>
        <v>0</v>
      </c>
      <c r="AF361" s="243">
        <f t="shared" si="17"/>
        <v>0</v>
      </c>
      <c r="AG361" s="243">
        <f t="shared" si="17"/>
        <v>75000</v>
      </c>
      <c r="AH361" s="243">
        <f t="shared" si="17"/>
        <v>200000</v>
      </c>
      <c r="AI361" s="243">
        <f t="shared" si="17"/>
        <v>8230</v>
      </c>
      <c r="AJ361" s="243">
        <f t="shared" si="17"/>
        <v>0</v>
      </c>
      <c r="AK361" s="243">
        <f t="shared" si="17"/>
        <v>29000</v>
      </c>
      <c r="AL361" s="243">
        <f t="shared" si="17"/>
        <v>885500</v>
      </c>
      <c r="AM361" s="243">
        <f t="shared" si="17"/>
        <v>40000</v>
      </c>
      <c r="AN361" s="243">
        <f t="shared" si="17"/>
        <v>199000</v>
      </c>
      <c r="AO361" s="243">
        <f t="shared" si="17"/>
        <v>0</v>
      </c>
      <c r="AP361" s="243">
        <f t="shared" si="17"/>
        <v>0</v>
      </c>
      <c r="AQ361" s="243">
        <f t="shared" si="17"/>
        <v>264000</v>
      </c>
      <c r="AR361" s="243">
        <f t="shared" si="17"/>
        <v>0</v>
      </c>
      <c r="AS361" s="243">
        <f t="shared" si="17"/>
        <v>0</v>
      </c>
      <c r="AT361" s="243">
        <f t="shared" si="17"/>
        <v>0</v>
      </c>
      <c r="AU361" s="243">
        <f t="shared" si="17"/>
        <v>0</v>
      </c>
      <c r="AV361" s="243">
        <f t="shared" si="17"/>
        <v>0</v>
      </c>
      <c r="AW361" s="243">
        <f t="shared" si="17"/>
        <v>0</v>
      </c>
      <c r="AX361" s="243">
        <f t="shared" si="17"/>
        <v>0</v>
      </c>
      <c r="AY361" s="243">
        <f t="shared" si="17"/>
        <v>185000</v>
      </c>
      <c r="AZ361" s="243">
        <f t="shared" si="17"/>
        <v>0</v>
      </c>
      <c r="BA361" s="243">
        <f t="shared" si="17"/>
        <v>120000</v>
      </c>
      <c r="BB361" s="243">
        <f t="shared" si="17"/>
        <v>53500</v>
      </c>
      <c r="BC361" s="243">
        <f t="shared" si="17"/>
        <v>0</v>
      </c>
      <c r="BD361" s="243">
        <f t="shared" si="17"/>
        <v>500000</v>
      </c>
      <c r="BE361" s="243">
        <f t="shared" si="17"/>
        <v>22000</v>
      </c>
      <c r="BF361" s="243">
        <f t="shared" si="17"/>
        <v>127592</v>
      </c>
      <c r="BG361" s="243">
        <f t="shared" si="17"/>
        <v>230000</v>
      </c>
      <c r="BH361" s="243">
        <f t="shared" si="17"/>
        <v>120000</v>
      </c>
      <c r="BI361" s="243">
        <f t="shared" si="17"/>
        <v>0</v>
      </c>
      <c r="BJ361" s="243">
        <f t="shared" si="17"/>
        <v>0</v>
      </c>
      <c r="BK361" s="243">
        <f t="shared" si="17"/>
        <v>700000</v>
      </c>
      <c r="BL361" s="243">
        <f t="shared" si="17"/>
        <v>0</v>
      </c>
      <c r="BM361" s="243">
        <f t="shared" si="17"/>
        <v>0</v>
      </c>
      <c r="BN361" s="243">
        <f t="shared" si="17"/>
        <v>0</v>
      </c>
      <c r="BO361" s="243">
        <f t="shared" si="17"/>
        <v>0</v>
      </c>
      <c r="BP361" s="243">
        <f t="shared" si="17"/>
        <v>0</v>
      </c>
      <c r="BQ361" s="243">
        <f t="shared" si="17"/>
        <v>0</v>
      </c>
      <c r="BR361" s="243">
        <f t="shared" si="17"/>
        <v>0</v>
      </c>
      <c r="BS361" s="243">
        <f t="shared" si="17"/>
        <v>0</v>
      </c>
      <c r="BT361" s="243">
        <f t="shared" ref="BT361:EJ361" si="18">SUM(BT235:BT360)</f>
        <v>0</v>
      </c>
      <c r="BU361" s="243">
        <f t="shared" si="18"/>
        <v>0</v>
      </c>
      <c r="BV361" s="243">
        <f t="shared" si="18"/>
        <v>0</v>
      </c>
      <c r="BW361" s="243">
        <f t="shared" si="18"/>
        <v>0</v>
      </c>
      <c r="BX361" s="243">
        <f t="shared" si="18"/>
        <v>0</v>
      </c>
      <c r="BY361" s="243">
        <f t="shared" si="18"/>
        <v>0</v>
      </c>
      <c r="BZ361" s="243">
        <f t="shared" si="18"/>
        <v>0</v>
      </c>
      <c r="CA361" s="243">
        <f t="shared" si="18"/>
        <v>0</v>
      </c>
      <c r="CB361" s="243">
        <f t="shared" si="18"/>
        <v>0</v>
      </c>
      <c r="CC361" s="243">
        <f t="shared" si="18"/>
        <v>0</v>
      </c>
      <c r="CD361" s="243">
        <f t="shared" si="18"/>
        <v>0</v>
      </c>
      <c r="CE361" s="243">
        <f t="shared" si="18"/>
        <v>0</v>
      </c>
      <c r="CF361" s="243">
        <f t="shared" si="18"/>
        <v>0</v>
      </c>
      <c r="CG361" s="243">
        <f t="shared" si="18"/>
        <v>0</v>
      </c>
      <c r="CH361" s="243">
        <f t="shared" si="18"/>
        <v>0</v>
      </c>
      <c r="CI361" s="243">
        <f t="shared" si="18"/>
        <v>0</v>
      </c>
      <c r="CJ361" s="243">
        <f t="shared" si="18"/>
        <v>0</v>
      </c>
      <c r="CK361" s="243">
        <f t="shared" si="18"/>
        <v>0</v>
      </c>
      <c r="CL361" s="243">
        <f t="shared" si="18"/>
        <v>0</v>
      </c>
      <c r="CM361" s="243">
        <f t="shared" si="18"/>
        <v>0</v>
      </c>
      <c r="CN361" s="243">
        <f t="shared" si="18"/>
        <v>0</v>
      </c>
      <c r="CO361" s="243">
        <f t="shared" si="18"/>
        <v>342</v>
      </c>
      <c r="CP361" s="339"/>
      <c r="CQ361" s="348"/>
      <c r="CR361" s="243">
        <f t="shared" si="18"/>
        <v>0</v>
      </c>
      <c r="CS361" s="243">
        <f t="shared" si="18"/>
        <v>4000</v>
      </c>
      <c r="CT361" s="243">
        <f t="shared" si="18"/>
        <v>0</v>
      </c>
      <c r="CU361" s="360"/>
      <c r="CV361" s="243">
        <f t="shared" si="18"/>
        <v>0</v>
      </c>
      <c r="CW361" s="243">
        <f t="shared" si="18"/>
        <v>0</v>
      </c>
      <c r="CX361" s="243">
        <f t="shared" si="18"/>
        <v>0</v>
      </c>
      <c r="CY361" s="243">
        <f t="shared" si="18"/>
        <v>8744</v>
      </c>
      <c r="CZ361" s="243">
        <f t="shared" si="18"/>
        <v>0</v>
      </c>
      <c r="DA361" s="243">
        <f t="shared" si="18"/>
        <v>0</v>
      </c>
      <c r="DB361" s="243">
        <f t="shared" si="18"/>
        <v>0</v>
      </c>
      <c r="DC361" s="243">
        <f t="shared" si="18"/>
        <v>322364</v>
      </c>
      <c r="DD361" s="243">
        <f t="shared" si="18"/>
        <v>0</v>
      </c>
      <c r="DE361" s="243">
        <f t="shared" si="18"/>
        <v>0</v>
      </c>
      <c r="DF361" s="243">
        <f t="shared" si="18"/>
        <v>115</v>
      </c>
      <c r="DG361" s="243">
        <f t="shared" si="18"/>
        <v>0</v>
      </c>
      <c r="DH361" s="355"/>
      <c r="DI361" s="243">
        <f t="shared" si="18"/>
        <v>40000</v>
      </c>
      <c r="DJ361" s="243">
        <f t="shared" si="18"/>
        <v>0</v>
      </c>
      <c r="DK361" s="243">
        <f t="shared" si="18"/>
        <v>179790</v>
      </c>
      <c r="DL361" s="243">
        <f t="shared" si="18"/>
        <v>157680</v>
      </c>
      <c r="DM361" s="243">
        <f t="shared" si="18"/>
        <v>0</v>
      </c>
      <c r="DN361" s="243">
        <f t="shared" si="18"/>
        <v>0</v>
      </c>
      <c r="DO361" s="243">
        <f t="shared" si="18"/>
        <v>110600</v>
      </c>
      <c r="DP361" s="243">
        <f t="shared" si="18"/>
        <v>84648</v>
      </c>
      <c r="DQ361" s="243">
        <f t="shared" si="18"/>
        <v>0</v>
      </c>
      <c r="DR361" s="243">
        <f t="shared" si="18"/>
        <v>8450</v>
      </c>
      <c r="DS361" s="243">
        <f t="shared" si="18"/>
        <v>0</v>
      </c>
      <c r="DT361" s="243">
        <f t="shared" si="18"/>
        <v>0</v>
      </c>
      <c r="DU361" s="243">
        <f t="shared" si="18"/>
        <v>0</v>
      </c>
      <c r="DV361" s="243">
        <f t="shared" si="18"/>
        <v>0</v>
      </c>
      <c r="DW361" s="243">
        <f t="shared" si="18"/>
        <v>0</v>
      </c>
      <c r="DX361" s="243">
        <f t="shared" si="18"/>
        <v>0</v>
      </c>
      <c r="DY361" s="243">
        <f t="shared" si="18"/>
        <v>0</v>
      </c>
      <c r="DZ361" s="243">
        <f t="shared" si="18"/>
        <v>0</v>
      </c>
      <c r="EA361" s="243"/>
      <c r="EB361" s="243">
        <f t="shared" si="18"/>
        <v>0</v>
      </c>
      <c r="EC361" s="243">
        <f t="shared" si="18"/>
        <v>0</v>
      </c>
      <c r="ED361" s="243">
        <f t="shared" si="18"/>
        <v>0</v>
      </c>
      <c r="EE361" s="243">
        <f t="shared" si="18"/>
        <v>0</v>
      </c>
      <c r="EF361" s="243">
        <f t="shared" si="18"/>
        <v>105</v>
      </c>
      <c r="EG361" s="243">
        <f t="shared" si="18"/>
        <v>0</v>
      </c>
      <c r="EH361" s="243">
        <f t="shared" si="18"/>
        <v>600</v>
      </c>
      <c r="EI361" s="243">
        <f t="shared" si="18"/>
        <v>0</v>
      </c>
      <c r="EJ361" s="243">
        <f t="shared" si="18"/>
        <v>19000</v>
      </c>
      <c r="EK361" s="243">
        <f t="shared" ref="EK361:GD361" si="19">SUM(EK235:EK360)</f>
        <v>8867</v>
      </c>
      <c r="EL361" s="243">
        <f t="shared" si="19"/>
        <v>1185</v>
      </c>
      <c r="EM361" s="243">
        <f t="shared" si="19"/>
        <v>900</v>
      </c>
      <c r="EN361" s="243">
        <f t="shared" si="19"/>
        <v>105000</v>
      </c>
      <c r="EO361" s="243">
        <f t="shared" si="19"/>
        <v>12000</v>
      </c>
      <c r="EP361" s="243">
        <f t="shared" si="19"/>
        <v>404</v>
      </c>
      <c r="EQ361" s="243">
        <f t="shared" si="19"/>
        <v>6000</v>
      </c>
      <c r="ER361" s="243">
        <f t="shared" si="19"/>
        <v>0</v>
      </c>
      <c r="ES361" s="243">
        <f t="shared" si="19"/>
        <v>16435</v>
      </c>
      <c r="ET361" s="243">
        <f t="shared" si="19"/>
        <v>0</v>
      </c>
      <c r="EU361" s="243">
        <f t="shared" si="19"/>
        <v>8100</v>
      </c>
      <c r="EV361" s="243">
        <f t="shared" si="19"/>
        <v>1250</v>
      </c>
      <c r="EW361" s="243">
        <f t="shared" si="19"/>
        <v>600</v>
      </c>
      <c r="EX361" s="243">
        <f t="shared" si="19"/>
        <v>0</v>
      </c>
      <c r="EY361" s="243">
        <f t="shared" si="19"/>
        <v>6932</v>
      </c>
      <c r="EZ361" s="243">
        <f t="shared" si="19"/>
        <v>8000</v>
      </c>
      <c r="FA361" s="243">
        <f t="shared" si="19"/>
        <v>18800</v>
      </c>
      <c r="FB361" s="243">
        <f t="shared" si="19"/>
        <v>77100</v>
      </c>
      <c r="FC361" s="243">
        <f t="shared" si="19"/>
        <v>5973</v>
      </c>
      <c r="FD361" s="243">
        <f t="shared" si="19"/>
        <v>1500</v>
      </c>
      <c r="FE361" s="243">
        <f t="shared" si="19"/>
        <v>15034</v>
      </c>
      <c r="FF361" s="243">
        <f t="shared" si="19"/>
        <v>0</v>
      </c>
      <c r="FG361" s="243">
        <f t="shared" si="19"/>
        <v>94000</v>
      </c>
      <c r="FH361" s="243">
        <f t="shared" si="19"/>
        <v>0</v>
      </c>
      <c r="FI361" s="243">
        <f t="shared" si="19"/>
        <v>0</v>
      </c>
      <c r="FJ361" s="243">
        <f t="shared" si="19"/>
        <v>60000</v>
      </c>
      <c r="FK361" s="243">
        <f t="shared" si="19"/>
        <v>0</v>
      </c>
      <c r="FL361" s="243">
        <f t="shared" si="19"/>
        <v>735</v>
      </c>
      <c r="FM361" s="243">
        <f t="shared" si="19"/>
        <v>35848</v>
      </c>
      <c r="FN361" s="243">
        <f t="shared" si="19"/>
        <v>9000</v>
      </c>
      <c r="FO361" s="243">
        <f t="shared" si="19"/>
        <v>159000</v>
      </c>
      <c r="FP361" s="243">
        <f t="shared" si="19"/>
        <v>61650</v>
      </c>
      <c r="FQ361" s="243">
        <f t="shared" si="19"/>
        <v>78335</v>
      </c>
      <c r="FR361" s="243">
        <f t="shared" si="19"/>
        <v>2000</v>
      </c>
      <c r="FS361" s="243">
        <f t="shared" si="19"/>
        <v>2000</v>
      </c>
      <c r="FT361" s="243">
        <f t="shared" si="19"/>
        <v>0</v>
      </c>
      <c r="FU361" s="243">
        <f t="shared" si="19"/>
        <v>11600</v>
      </c>
      <c r="FV361" s="243">
        <f t="shared" si="19"/>
        <v>11000</v>
      </c>
      <c r="FW361" s="243">
        <f t="shared" si="19"/>
        <v>55000</v>
      </c>
      <c r="FX361" s="243">
        <f t="shared" si="19"/>
        <v>0</v>
      </c>
      <c r="FY361" s="243">
        <f t="shared" si="19"/>
        <v>0</v>
      </c>
      <c r="FZ361" s="243">
        <f t="shared" si="19"/>
        <v>0</v>
      </c>
      <c r="GA361" s="243">
        <f t="shared" si="19"/>
        <v>0</v>
      </c>
      <c r="GB361" s="243">
        <f t="shared" si="19"/>
        <v>0</v>
      </c>
      <c r="GC361" s="243">
        <f t="shared" si="19"/>
        <v>0</v>
      </c>
      <c r="GD361" s="243">
        <f t="shared" si="19"/>
        <v>2400000</v>
      </c>
      <c r="GE361" s="279"/>
    </row>
    <row r="362" spans="1:199" x14ac:dyDescent="0.25">
      <c r="C362" s="2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</row>
    <row r="363" spans="1:199" x14ac:dyDescent="0.25">
      <c r="C363" s="2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</row>
    <row r="364" spans="1:199" x14ac:dyDescent="0.25"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378" t="s">
        <v>205</v>
      </c>
      <c r="T364" s="378"/>
      <c r="U364" s="378"/>
      <c r="V364" s="378"/>
      <c r="W364" s="378"/>
      <c r="X364" s="378"/>
      <c r="Y364" s="378"/>
      <c r="Z364" s="378" t="s">
        <v>90</v>
      </c>
      <c r="AA364" s="378"/>
      <c r="AB364" s="378"/>
      <c r="AC364" s="378"/>
      <c r="AD364" s="378"/>
      <c r="AE364" s="378"/>
      <c r="AF364" s="378"/>
      <c r="AG364" s="378"/>
      <c r="AH364" s="378"/>
      <c r="AI364" s="378"/>
      <c r="AJ364" s="378"/>
      <c r="AK364" s="378"/>
      <c r="AL364" s="378"/>
      <c r="AM364" s="378"/>
      <c r="AN364" s="378"/>
      <c r="AO364" s="378"/>
      <c r="AP364" s="378"/>
      <c r="AQ364" s="378"/>
      <c r="AR364" s="378"/>
      <c r="AS364" s="378"/>
      <c r="AT364" s="378"/>
      <c r="AU364" s="378"/>
      <c r="AV364" s="378"/>
      <c r="AW364" s="378"/>
      <c r="AX364" s="378"/>
      <c r="AY364" s="378"/>
      <c r="AZ364" s="378"/>
      <c r="BA364" s="378"/>
      <c r="BB364" s="378"/>
      <c r="BC364" s="378"/>
      <c r="BD364" s="378"/>
      <c r="BE364" s="378"/>
      <c r="BF364" s="378"/>
      <c r="BG364" s="378"/>
      <c r="BH364" s="378"/>
      <c r="BI364" s="378" t="s">
        <v>77</v>
      </c>
      <c r="BJ364" s="378"/>
      <c r="BK364" s="378"/>
      <c r="BL364" s="378"/>
      <c r="BM364" s="378"/>
      <c r="BN364" s="378" t="s">
        <v>65</v>
      </c>
      <c r="BO364" s="378"/>
      <c r="BP364" s="378"/>
      <c r="BQ364" s="378" t="s">
        <v>15</v>
      </c>
      <c r="BR364" s="378"/>
      <c r="BS364" s="378"/>
      <c r="BT364" s="378"/>
      <c r="BU364" s="378"/>
      <c r="BV364" s="378"/>
      <c r="BW364" s="378"/>
      <c r="BX364" s="378"/>
      <c r="BY364" s="378"/>
      <c r="BZ364" s="378"/>
      <c r="CA364" s="378"/>
      <c r="CB364" s="378"/>
      <c r="CC364" s="378"/>
      <c r="CD364" s="378"/>
      <c r="CE364" s="378" t="s">
        <v>4</v>
      </c>
      <c r="CF364" s="378"/>
      <c r="CG364" s="378"/>
      <c r="CH364" s="378"/>
      <c r="CI364" s="378"/>
      <c r="CJ364" s="378"/>
      <c r="CK364" s="378"/>
      <c r="CL364" s="378"/>
      <c r="CM364" s="378"/>
      <c r="CN364" s="378"/>
      <c r="CO364" s="378" t="s">
        <v>21</v>
      </c>
      <c r="CP364" s="378"/>
      <c r="CQ364" s="378"/>
      <c r="CR364" s="378"/>
      <c r="CS364" s="378"/>
      <c r="CT364" s="378"/>
      <c r="CU364" s="378"/>
      <c r="CV364" s="378"/>
      <c r="CW364" s="378"/>
      <c r="CX364" s="378"/>
      <c r="CY364" s="378"/>
      <c r="CZ364" s="378"/>
      <c r="DA364" s="378"/>
      <c r="DB364" s="378"/>
      <c r="DC364" s="378"/>
      <c r="DD364" s="378"/>
      <c r="DE364" s="378"/>
      <c r="DF364" s="378"/>
      <c r="DG364" s="378"/>
      <c r="DH364" s="378"/>
      <c r="DI364" s="378"/>
      <c r="DK364" s="90"/>
      <c r="DL364" s="89"/>
      <c r="DM364" s="142"/>
      <c r="DN364" s="145"/>
      <c r="DO364" s="89"/>
      <c r="DP364" s="378" t="s">
        <v>317</v>
      </c>
      <c r="DQ364" s="378"/>
      <c r="DR364" s="378"/>
      <c r="DS364" s="378"/>
      <c r="DT364" s="378"/>
      <c r="DU364" s="378"/>
      <c r="DV364" s="378"/>
      <c r="DW364" s="378"/>
      <c r="DX364" s="378"/>
      <c r="DY364" s="378"/>
      <c r="DZ364" s="378"/>
      <c r="EA364" s="378"/>
      <c r="EB364" s="378"/>
      <c r="EC364" s="378"/>
      <c r="ED364" s="378"/>
      <c r="EE364" s="378"/>
      <c r="EF364" s="378"/>
      <c r="EG364" s="378"/>
      <c r="EH364" s="378"/>
      <c r="EI364" s="378"/>
      <c r="EJ364" s="378"/>
      <c r="EK364" s="378"/>
      <c r="EL364" s="378"/>
      <c r="EM364" s="378"/>
      <c r="EN364" s="378"/>
      <c r="EO364" s="378"/>
      <c r="EP364" s="378"/>
      <c r="EQ364" s="378"/>
      <c r="ER364" s="378"/>
      <c r="ES364" s="378"/>
      <c r="ET364" s="378"/>
      <c r="EU364" s="378"/>
      <c r="EV364" s="378"/>
      <c r="EW364" s="378"/>
      <c r="EX364" s="378"/>
      <c r="EY364" s="378"/>
      <c r="EZ364" s="378"/>
      <c r="FA364" s="378"/>
      <c r="FB364" s="378"/>
      <c r="FC364" s="378"/>
      <c r="FD364" s="378"/>
      <c r="FE364" s="378"/>
      <c r="FF364" s="378"/>
      <c r="FG364" s="378"/>
      <c r="FH364" s="378"/>
      <c r="FI364" s="378"/>
      <c r="FJ364" s="378"/>
      <c r="FK364" s="378"/>
      <c r="FL364" s="378"/>
      <c r="FM364" s="378"/>
      <c r="FN364" s="378"/>
      <c r="FO364" s="378"/>
      <c r="FP364" s="378"/>
      <c r="FQ364" s="378"/>
      <c r="FR364" s="378"/>
      <c r="FS364" s="378"/>
      <c r="FT364" s="378"/>
      <c r="FU364" s="378"/>
      <c r="FV364" s="378"/>
      <c r="FW364" s="378"/>
      <c r="FX364" s="378"/>
      <c r="FY364" s="126"/>
      <c r="FZ364" s="147"/>
      <c r="GA364" s="184"/>
      <c r="GB364" s="184"/>
      <c r="GC364" s="190"/>
    </row>
    <row r="365" spans="1:199" s="89" customFormat="1" x14ac:dyDescent="0.25">
      <c r="A365" s="195" t="s">
        <v>0</v>
      </c>
      <c r="B365" s="18" t="s">
        <v>5</v>
      </c>
      <c r="C365" s="89" t="s">
        <v>89</v>
      </c>
      <c r="D365" s="220" t="s">
        <v>95</v>
      </c>
      <c r="E365" s="247"/>
      <c r="F365" s="260"/>
      <c r="G365" s="260"/>
      <c r="H365" s="89" t="s">
        <v>28</v>
      </c>
      <c r="I365" s="214" t="s">
        <v>382</v>
      </c>
      <c r="J365" s="214" t="s">
        <v>2044</v>
      </c>
      <c r="K365" s="214" t="s">
        <v>2045</v>
      </c>
      <c r="L365" s="214" t="s">
        <v>2046</v>
      </c>
      <c r="M365" s="214" t="s">
        <v>1548</v>
      </c>
      <c r="N365" s="214" t="s">
        <v>1658</v>
      </c>
      <c r="O365" s="214" t="s">
        <v>1660</v>
      </c>
      <c r="P365" s="214" t="s">
        <v>1659</v>
      </c>
      <c r="Q365" s="214" t="s">
        <v>705</v>
      </c>
      <c r="R365" s="214" t="s">
        <v>1661</v>
      </c>
      <c r="S365" s="214" t="s">
        <v>93</v>
      </c>
      <c r="T365" s="214" t="s">
        <v>567</v>
      </c>
      <c r="U365" s="214" t="s">
        <v>1368</v>
      </c>
      <c r="V365" s="214" t="s">
        <v>353</v>
      </c>
      <c r="W365" s="214" t="s">
        <v>206</v>
      </c>
      <c r="X365" s="240" t="s">
        <v>2204</v>
      </c>
      <c r="Y365" s="214" t="s">
        <v>207</v>
      </c>
      <c r="Z365" s="89" t="s">
        <v>91</v>
      </c>
      <c r="AA365" s="89" t="s">
        <v>261</v>
      </c>
      <c r="AB365" s="97" t="s">
        <v>606</v>
      </c>
      <c r="AC365" s="128" t="s">
        <v>938</v>
      </c>
      <c r="AD365" s="97" t="s">
        <v>674</v>
      </c>
      <c r="AE365" s="175" t="s">
        <v>1565</v>
      </c>
      <c r="AF365" s="163" t="s">
        <v>1507</v>
      </c>
      <c r="AG365" s="89" t="s">
        <v>531</v>
      </c>
      <c r="AH365" s="89" t="s">
        <v>541</v>
      </c>
      <c r="AI365" s="89" t="s">
        <v>382</v>
      </c>
      <c r="AJ365" s="105" t="s">
        <v>708</v>
      </c>
      <c r="AK365" s="89" t="s">
        <v>553</v>
      </c>
      <c r="AL365" s="89" t="s">
        <v>93</v>
      </c>
      <c r="AM365" s="89" t="s">
        <v>632</v>
      </c>
      <c r="AN365" s="240" t="s">
        <v>2191</v>
      </c>
      <c r="AO365" s="126" t="s">
        <v>931</v>
      </c>
      <c r="AP365" s="175" t="s">
        <v>1566</v>
      </c>
      <c r="AQ365" s="89" t="s">
        <v>635</v>
      </c>
      <c r="AR365" s="156" t="s">
        <v>1425</v>
      </c>
      <c r="AS365" s="167" t="s">
        <v>1530</v>
      </c>
      <c r="AT365" s="192" t="s">
        <v>1732</v>
      </c>
      <c r="AU365" s="119" t="s">
        <v>895</v>
      </c>
      <c r="AV365" s="158" t="s">
        <v>1459</v>
      </c>
      <c r="AW365" s="145" t="s">
        <v>1240</v>
      </c>
      <c r="AX365" s="163" t="s">
        <v>1505</v>
      </c>
      <c r="AY365" s="89" t="s">
        <v>556</v>
      </c>
      <c r="AZ365" s="156" t="s">
        <v>1434</v>
      </c>
      <c r="BA365" s="89" t="s">
        <v>640</v>
      </c>
      <c r="BB365" s="89" t="s">
        <v>552</v>
      </c>
      <c r="BC365" s="89" t="s">
        <v>565</v>
      </c>
      <c r="BD365" s="89" t="s">
        <v>597</v>
      </c>
      <c r="BE365" s="89" t="s">
        <v>488</v>
      </c>
      <c r="BF365" s="89" t="s">
        <v>1247</v>
      </c>
      <c r="BG365" s="89" t="s">
        <v>242</v>
      </c>
      <c r="BH365" s="89" t="s">
        <v>92</v>
      </c>
      <c r="BI365" s="89" t="s">
        <v>80</v>
      </c>
      <c r="BJ365" s="156" t="s">
        <v>1430</v>
      </c>
      <c r="BK365" s="89" t="s">
        <v>256</v>
      </c>
      <c r="BL365" s="97" t="s">
        <v>673</v>
      </c>
      <c r="BM365" s="89" t="s">
        <v>81</v>
      </c>
      <c r="BN365" s="89" t="s">
        <v>80</v>
      </c>
      <c r="BO365" s="156" t="s">
        <v>1430</v>
      </c>
      <c r="BP365" s="89" t="s">
        <v>81</v>
      </c>
      <c r="BQ365" s="89" t="s">
        <v>226</v>
      </c>
      <c r="BR365" s="89" t="s">
        <v>69</v>
      </c>
      <c r="BS365" s="89" t="s">
        <v>84</v>
      </c>
      <c r="BT365" s="89" t="s">
        <v>76</v>
      </c>
      <c r="BU365" s="89" t="s">
        <v>38</v>
      </c>
      <c r="BV365" s="89" t="s">
        <v>271</v>
      </c>
      <c r="BW365" s="89" t="s">
        <v>34</v>
      </c>
      <c r="BX365" s="89" t="s">
        <v>35</v>
      </c>
      <c r="BY365" s="89" t="s">
        <v>6</v>
      </c>
      <c r="BZ365" s="89" t="s">
        <v>82</v>
      </c>
      <c r="CA365" s="89" t="s">
        <v>63</v>
      </c>
      <c r="CB365" s="89" t="s">
        <v>68</v>
      </c>
      <c r="CC365" s="89" t="s">
        <v>221</v>
      </c>
      <c r="CD365" s="89" t="s">
        <v>83</v>
      </c>
      <c r="CE365" s="89" t="s">
        <v>37</v>
      </c>
      <c r="CF365" s="89" t="s">
        <v>74</v>
      </c>
      <c r="CG365" s="89" t="s">
        <v>39</v>
      </c>
      <c r="CH365" s="89" t="s">
        <v>6</v>
      </c>
      <c r="CI365" s="89" t="s">
        <v>38</v>
      </c>
      <c r="CJ365" s="89" t="s">
        <v>78</v>
      </c>
      <c r="CK365" s="89" t="s">
        <v>79</v>
      </c>
      <c r="CL365" s="89" t="s">
        <v>59</v>
      </c>
      <c r="CM365" s="89" t="s">
        <v>36</v>
      </c>
      <c r="CN365" s="89" t="s">
        <v>63</v>
      </c>
      <c r="CO365" s="89" t="s">
        <v>38</v>
      </c>
      <c r="CP365" s="338"/>
      <c r="CQ365" s="347"/>
      <c r="CR365" s="146" t="s">
        <v>6</v>
      </c>
      <c r="CS365" s="89" t="s">
        <v>37</v>
      </c>
      <c r="CT365" s="144" t="s">
        <v>1186</v>
      </c>
      <c r="CU365" s="359"/>
      <c r="CV365" s="144" t="s">
        <v>1189</v>
      </c>
      <c r="CW365" s="89" t="s">
        <v>39</v>
      </c>
      <c r="CX365" s="168" t="s">
        <v>690</v>
      </c>
      <c r="CY365" s="89" t="s">
        <v>19</v>
      </c>
      <c r="CZ365" s="230" t="s">
        <v>2125</v>
      </c>
      <c r="DA365" s="89" t="s">
        <v>68</v>
      </c>
      <c r="DB365" s="89" t="s">
        <v>323</v>
      </c>
      <c r="DC365" s="89" t="s">
        <v>69</v>
      </c>
      <c r="DD365" s="197" t="s">
        <v>1776</v>
      </c>
      <c r="DE365" s="220" t="s">
        <v>2065</v>
      </c>
      <c r="DF365" s="89" t="s">
        <v>377</v>
      </c>
      <c r="DG365" s="163" t="s">
        <v>1514</v>
      </c>
      <c r="DH365" s="354"/>
      <c r="DI365" s="89" t="s">
        <v>62</v>
      </c>
      <c r="DJ365" s="90" t="s">
        <v>392</v>
      </c>
      <c r="DK365" s="240" t="s">
        <v>2190</v>
      </c>
      <c r="DL365" s="89" t="s">
        <v>604</v>
      </c>
      <c r="DM365" s="142" t="s">
        <v>1132</v>
      </c>
      <c r="DN365" s="145" t="s">
        <v>1248</v>
      </c>
      <c r="DO365" s="89" t="s">
        <v>634</v>
      </c>
      <c r="DP365" s="89" t="s">
        <v>306</v>
      </c>
      <c r="DQ365" s="119" t="s">
        <v>896</v>
      </c>
      <c r="DR365" s="36" t="s">
        <v>307</v>
      </c>
      <c r="DS365" s="238" t="s">
        <v>2141</v>
      </c>
      <c r="DT365" s="238" t="s">
        <v>2142</v>
      </c>
      <c r="DU365" s="238" t="s">
        <v>2143</v>
      </c>
      <c r="DV365" s="89" t="s">
        <v>69</v>
      </c>
      <c r="DW365" s="186" t="s">
        <v>1672</v>
      </c>
      <c r="DX365" s="89" t="s">
        <v>84</v>
      </c>
      <c r="DY365" s="105" t="s">
        <v>709</v>
      </c>
      <c r="DZ365" s="105" t="s">
        <v>710</v>
      </c>
      <c r="EA365" s="240" t="s">
        <v>2203</v>
      </c>
      <c r="EB365" s="223" t="s">
        <v>2093</v>
      </c>
      <c r="EC365" s="147" t="s">
        <v>1289</v>
      </c>
      <c r="ED365" s="121" t="s">
        <v>902</v>
      </c>
      <c r="EE365" s="105" t="s">
        <v>711</v>
      </c>
      <c r="EF365" s="89" t="s">
        <v>624</v>
      </c>
      <c r="EG365" s="105" t="s">
        <v>699</v>
      </c>
      <c r="EH365" s="89" t="s">
        <v>37</v>
      </c>
      <c r="EI365" s="223" t="s">
        <v>2089</v>
      </c>
      <c r="EJ365" s="89" t="s">
        <v>76</v>
      </c>
      <c r="EK365" s="89" t="s">
        <v>38</v>
      </c>
      <c r="EL365" s="89" t="s">
        <v>611</v>
      </c>
      <c r="EM365" s="89" t="s">
        <v>612</v>
      </c>
      <c r="EN365" s="89" t="s">
        <v>613</v>
      </c>
      <c r="EO365" s="89" t="s">
        <v>620</v>
      </c>
      <c r="EP365" s="89" t="s">
        <v>377</v>
      </c>
      <c r="EQ365" s="89" t="s">
        <v>271</v>
      </c>
      <c r="ER365" s="89" t="s">
        <v>34</v>
      </c>
      <c r="ES365" s="89" t="s">
        <v>35</v>
      </c>
      <c r="ET365" s="105" t="s">
        <v>713</v>
      </c>
      <c r="EU365" s="89" t="s">
        <v>621</v>
      </c>
      <c r="EV365" s="89" t="s">
        <v>622</v>
      </c>
      <c r="EW365" s="89" t="s">
        <v>623</v>
      </c>
      <c r="EX365" s="214" t="s">
        <v>2047</v>
      </c>
      <c r="EY365" s="89" t="s">
        <v>6</v>
      </c>
      <c r="EZ365" s="89" t="s">
        <v>603</v>
      </c>
      <c r="FA365" s="89" t="s">
        <v>618</v>
      </c>
      <c r="FB365" s="89" t="s">
        <v>1249</v>
      </c>
      <c r="FC365" s="89" t="s">
        <v>82</v>
      </c>
      <c r="FD365" s="89" t="s">
        <v>489</v>
      </c>
      <c r="FE365" s="89" t="s">
        <v>63</v>
      </c>
      <c r="FF365" s="89" t="s">
        <v>68</v>
      </c>
      <c r="FG365" s="89" t="s">
        <v>442</v>
      </c>
      <c r="FH365" s="154" t="s">
        <v>1371</v>
      </c>
      <c r="FI365" s="178" t="s">
        <v>1593</v>
      </c>
      <c r="FJ365" s="89" t="s">
        <v>221</v>
      </c>
      <c r="FK365" s="89" t="s">
        <v>83</v>
      </c>
      <c r="FL365" s="89" t="s">
        <v>19</v>
      </c>
      <c r="FM365" s="89" t="s">
        <v>614</v>
      </c>
      <c r="FN365" s="89" t="s">
        <v>617</v>
      </c>
      <c r="FO365" s="89" t="s">
        <v>616</v>
      </c>
      <c r="FP365" s="89" t="s">
        <v>615</v>
      </c>
      <c r="FQ365" s="89" t="s">
        <v>470</v>
      </c>
      <c r="FR365" s="89" t="s">
        <v>363</v>
      </c>
      <c r="FS365" s="89" t="s">
        <v>489</v>
      </c>
      <c r="FT365" s="106" t="s">
        <v>676</v>
      </c>
      <c r="FU365" s="89" t="s">
        <v>490</v>
      </c>
      <c r="FV365" s="89" t="s">
        <v>596</v>
      </c>
      <c r="FW365" s="89" t="s">
        <v>417</v>
      </c>
      <c r="FX365" s="89" t="s">
        <v>472</v>
      </c>
      <c r="FY365" s="126" t="s">
        <v>933</v>
      </c>
      <c r="FZ365" s="147" t="s">
        <v>1293</v>
      </c>
      <c r="GA365" s="184" t="s">
        <v>1654</v>
      </c>
      <c r="GB365" s="184" t="s">
        <v>1655</v>
      </c>
      <c r="GC365" s="190" t="s">
        <v>1726</v>
      </c>
      <c r="GD365" s="89" t="s">
        <v>566</v>
      </c>
      <c r="GE365" s="277"/>
      <c r="GG365" s="366"/>
      <c r="GH365" s="294"/>
      <c r="GI365" s="277"/>
      <c r="GQ365" s="314"/>
    </row>
    <row r="366" spans="1:199" x14ac:dyDescent="0.25">
      <c r="A366" s="195" t="s">
        <v>639</v>
      </c>
      <c r="B366" s="18" t="s">
        <v>2</v>
      </c>
      <c r="C366" s="24">
        <f>C361</f>
        <v>376526</v>
      </c>
      <c r="T366" s="1">
        <f>T361</f>
        <v>8000</v>
      </c>
      <c r="Z366" s="14"/>
      <c r="AA366" s="14"/>
      <c r="AB366" s="14">
        <f t="shared" ref="AB366:BB366" si="20">AB361</f>
        <v>185000</v>
      </c>
      <c r="AC366" s="14"/>
      <c r="AD366" s="14">
        <f>AD361</f>
        <v>5000</v>
      </c>
      <c r="AE366" s="14"/>
      <c r="AF366" s="14"/>
      <c r="AG366" s="14">
        <f t="shared" si="20"/>
        <v>75000</v>
      </c>
      <c r="AH366" s="14">
        <f t="shared" si="20"/>
        <v>200000</v>
      </c>
      <c r="AI366" s="14">
        <f t="shared" si="20"/>
        <v>8230</v>
      </c>
      <c r="AJ366" s="14"/>
      <c r="AK366" s="14">
        <f t="shared" si="20"/>
        <v>29000</v>
      </c>
      <c r="AL366" s="14">
        <f t="shared" si="20"/>
        <v>885500</v>
      </c>
      <c r="AM366" s="14">
        <f t="shared" si="20"/>
        <v>40000</v>
      </c>
      <c r="AN366" s="14">
        <f t="shared" si="20"/>
        <v>199000</v>
      </c>
      <c r="AO366" s="14"/>
      <c r="AP366" s="14"/>
      <c r="AQ366" s="14">
        <f t="shared" si="20"/>
        <v>264000</v>
      </c>
      <c r="AR366" s="14"/>
      <c r="AS366" s="14"/>
      <c r="AT366" s="14"/>
      <c r="AU366" s="14"/>
      <c r="AV366" s="14"/>
      <c r="AW366" s="14"/>
      <c r="AX366" s="14"/>
      <c r="AY366" s="14">
        <f t="shared" si="20"/>
        <v>185000</v>
      </c>
      <c r="AZ366" s="14"/>
      <c r="BA366" s="14">
        <f t="shared" si="20"/>
        <v>120000</v>
      </c>
      <c r="BB366" s="14">
        <f t="shared" si="20"/>
        <v>53500</v>
      </c>
      <c r="BC366" s="14"/>
      <c r="BD366" s="14">
        <f>BD361</f>
        <v>500000</v>
      </c>
      <c r="BE366" s="14">
        <f>BE361</f>
        <v>22000</v>
      </c>
      <c r="BF366" s="14">
        <f>BF361</f>
        <v>127592</v>
      </c>
      <c r="BG366" s="14">
        <f>BG361</f>
        <v>230000</v>
      </c>
      <c r="BH366" s="1">
        <f>BH361</f>
        <v>120000</v>
      </c>
      <c r="BK366" s="1">
        <f>BK361</f>
        <v>700000</v>
      </c>
      <c r="DK366" s="1">
        <f>DK361</f>
        <v>179790</v>
      </c>
      <c r="DL366" s="1">
        <f>DL361</f>
        <v>157680</v>
      </c>
      <c r="DO366" s="1">
        <f>DO361</f>
        <v>110600</v>
      </c>
      <c r="GD366" s="1">
        <f>GD361</f>
        <v>2400000</v>
      </c>
    </row>
    <row r="367" spans="1:199" x14ac:dyDescent="0.25">
      <c r="A367" s="195" t="s">
        <v>639</v>
      </c>
      <c r="B367" s="18" t="s">
        <v>642</v>
      </c>
      <c r="C367" s="24">
        <v>-10000</v>
      </c>
      <c r="D367" s="220" t="s">
        <v>1032</v>
      </c>
      <c r="Z367" s="14"/>
      <c r="AA367" s="14"/>
      <c r="AB367" s="14">
        <v>10000</v>
      </c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</row>
    <row r="368" spans="1:199" x14ac:dyDescent="0.25">
      <c r="A368" s="195" t="s">
        <v>639</v>
      </c>
      <c r="B368" s="18" t="s">
        <v>641</v>
      </c>
      <c r="C368" s="24">
        <v>-200</v>
      </c>
      <c r="D368" s="220" t="s">
        <v>1033</v>
      </c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EY368" s="1">
        <v>200</v>
      </c>
    </row>
    <row r="369" spans="1:186" x14ac:dyDescent="0.25">
      <c r="A369" s="195" t="s">
        <v>644</v>
      </c>
      <c r="B369" s="18" t="s">
        <v>1252</v>
      </c>
      <c r="C369" s="24">
        <v>-30000</v>
      </c>
      <c r="D369" s="220" t="s">
        <v>1034</v>
      </c>
      <c r="Z369" s="14"/>
      <c r="AA369" s="14"/>
      <c r="AB369" s="14">
        <v>30000</v>
      </c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</row>
    <row r="370" spans="1:186" x14ac:dyDescent="0.25">
      <c r="A370" s="195" t="s">
        <v>653</v>
      </c>
      <c r="B370" s="18" t="s">
        <v>652</v>
      </c>
      <c r="C370" s="91">
        <v>-40000</v>
      </c>
      <c r="D370" s="220" t="s">
        <v>1035</v>
      </c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DI370" s="1">
        <v>40000</v>
      </c>
    </row>
    <row r="371" spans="1:186" x14ac:dyDescent="0.25">
      <c r="A371" s="195" t="s">
        <v>653</v>
      </c>
      <c r="B371" s="18" t="s">
        <v>659</v>
      </c>
      <c r="C371" s="91">
        <v>-132000</v>
      </c>
      <c r="D371" s="220" t="s">
        <v>1036</v>
      </c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>
        <v>132000</v>
      </c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</row>
    <row r="372" spans="1:186" x14ac:dyDescent="0.25">
      <c r="A372" s="195" t="s">
        <v>653</v>
      </c>
      <c r="B372" s="18" t="s">
        <v>654</v>
      </c>
      <c r="C372" s="91">
        <v>-6100</v>
      </c>
      <c r="D372" s="220" t="s">
        <v>1037</v>
      </c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ES372" s="1">
        <v>6100</v>
      </c>
    </row>
    <row r="373" spans="1:186" x14ac:dyDescent="0.25">
      <c r="A373" s="195" t="s">
        <v>653</v>
      </c>
      <c r="B373" s="18" t="s">
        <v>655</v>
      </c>
      <c r="C373" s="91">
        <v>-1165</v>
      </c>
      <c r="D373" s="220" t="s">
        <v>1038</v>
      </c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EK373" s="1">
        <v>1165</v>
      </c>
    </row>
    <row r="374" spans="1:186" x14ac:dyDescent="0.25">
      <c r="A374" s="195" t="s">
        <v>653</v>
      </c>
      <c r="B374" s="18" t="s">
        <v>656</v>
      </c>
      <c r="C374" s="91">
        <v>-500</v>
      </c>
      <c r="D374" s="220" t="s">
        <v>1039</v>
      </c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FE374" s="1">
        <v>500</v>
      </c>
    </row>
    <row r="375" spans="1:186" x14ac:dyDescent="0.25">
      <c r="A375" s="195" t="s">
        <v>657</v>
      </c>
      <c r="B375" s="18" t="s">
        <v>658</v>
      </c>
      <c r="C375" s="91">
        <v>-25000</v>
      </c>
      <c r="D375" s="220" t="s">
        <v>1040</v>
      </c>
      <c r="Z375" s="14"/>
      <c r="AA375" s="14"/>
      <c r="AB375" s="14">
        <v>25000</v>
      </c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</row>
    <row r="376" spans="1:186" x14ac:dyDescent="0.25">
      <c r="A376" s="195" t="s">
        <v>657</v>
      </c>
      <c r="B376" s="18" t="s">
        <v>899</v>
      </c>
      <c r="C376" s="91">
        <v>-25000</v>
      </c>
      <c r="D376" s="220" t="s">
        <v>1041</v>
      </c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>
        <v>25000</v>
      </c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</row>
    <row r="377" spans="1:186" x14ac:dyDescent="0.25">
      <c r="A377" s="195" t="s">
        <v>661</v>
      </c>
      <c r="B377" s="84" t="s">
        <v>528</v>
      </c>
      <c r="C377" s="92">
        <v>100000</v>
      </c>
      <c r="D377" s="221" t="s">
        <v>1042</v>
      </c>
      <c r="E377" s="249"/>
      <c r="F377" s="262"/>
      <c r="G377" s="262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GD377" s="1">
        <v>100000</v>
      </c>
    </row>
    <row r="378" spans="1:186" x14ac:dyDescent="0.25">
      <c r="A378" s="195" t="s">
        <v>661</v>
      </c>
      <c r="B378" s="18" t="s">
        <v>663</v>
      </c>
      <c r="C378" s="1">
        <v>-4000</v>
      </c>
      <c r="D378" s="220" t="s">
        <v>1043</v>
      </c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CS378" s="1">
        <v>4000</v>
      </c>
    </row>
    <row r="379" spans="1:186" x14ac:dyDescent="0.25">
      <c r="A379" s="195" t="s">
        <v>662</v>
      </c>
      <c r="B379" s="41" t="s">
        <v>1045</v>
      </c>
      <c r="C379" s="93">
        <v>-15000</v>
      </c>
      <c r="D379" s="220" t="s">
        <v>1044</v>
      </c>
      <c r="S379" s="1">
        <v>15000</v>
      </c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</row>
    <row r="380" spans="1:186" x14ac:dyDescent="0.25">
      <c r="A380" s="195" t="s">
        <v>662</v>
      </c>
      <c r="B380" s="41" t="s">
        <v>665</v>
      </c>
      <c r="C380" s="94">
        <f>-15000-15000</f>
        <v>-30000</v>
      </c>
      <c r="D380" s="220" t="s">
        <v>1046</v>
      </c>
      <c r="Z380" s="14"/>
      <c r="AA380" s="14"/>
      <c r="AB380" s="14">
        <v>30000</v>
      </c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</row>
    <row r="381" spans="1:186" x14ac:dyDescent="0.25">
      <c r="A381" s="195" t="s">
        <v>662</v>
      </c>
      <c r="B381" s="41" t="s">
        <v>664</v>
      </c>
      <c r="C381" s="94">
        <v>-300</v>
      </c>
      <c r="D381" s="220" t="s">
        <v>1047</v>
      </c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EY381" s="1">
        <v>300</v>
      </c>
    </row>
    <row r="382" spans="1:186" x14ac:dyDescent="0.25">
      <c r="A382" s="195" t="s">
        <v>662</v>
      </c>
      <c r="B382" s="41" t="s">
        <v>668</v>
      </c>
      <c r="C382" s="94">
        <v>-6400</v>
      </c>
      <c r="D382" s="220" t="s">
        <v>1048</v>
      </c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DP382" s="1">
        <v>6400</v>
      </c>
    </row>
    <row r="383" spans="1:186" x14ac:dyDescent="0.25">
      <c r="A383" s="195" t="s">
        <v>669</v>
      </c>
      <c r="B383" s="18" t="s">
        <v>881</v>
      </c>
      <c r="C383" s="95">
        <v>-25000</v>
      </c>
      <c r="D383" s="220" t="s">
        <v>1049</v>
      </c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DO383" s="1">
        <v>25000</v>
      </c>
    </row>
    <row r="384" spans="1:186" x14ac:dyDescent="0.25">
      <c r="A384" s="195" t="s">
        <v>669</v>
      </c>
      <c r="B384" s="18" t="s">
        <v>898</v>
      </c>
      <c r="C384" s="96">
        <v>-25000</v>
      </c>
      <c r="D384" s="220" t="s">
        <v>1050</v>
      </c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>
        <v>25000</v>
      </c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</row>
    <row r="385" spans="1:186" x14ac:dyDescent="0.25">
      <c r="A385" s="195" t="s">
        <v>669</v>
      </c>
      <c r="B385" s="18" t="s">
        <v>670</v>
      </c>
      <c r="C385" s="96">
        <v>-100000</v>
      </c>
      <c r="D385" s="220" t="s">
        <v>1051</v>
      </c>
      <c r="Z385" s="14"/>
      <c r="AA385" s="14"/>
      <c r="AB385" s="14"/>
      <c r="AC385" s="14"/>
      <c r="AD385" s="14"/>
      <c r="AE385" s="14"/>
      <c r="AF385" s="14"/>
      <c r="AG385" s="14">
        <v>100000</v>
      </c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</row>
    <row r="386" spans="1:186" s="58" customFormat="1" x14ac:dyDescent="0.25">
      <c r="A386" s="196" t="s">
        <v>671</v>
      </c>
      <c r="B386" s="84" t="s">
        <v>528</v>
      </c>
      <c r="C386" s="59">
        <v>200000</v>
      </c>
      <c r="D386" s="221" t="s">
        <v>1052</v>
      </c>
      <c r="E386" s="249"/>
      <c r="F386" s="262"/>
      <c r="G386" s="262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DS386" s="56"/>
      <c r="DT386" s="56"/>
      <c r="DU386" s="56"/>
      <c r="GD386" s="58">
        <v>200000</v>
      </c>
    </row>
    <row r="387" spans="1:186" s="7" customFormat="1" x14ac:dyDescent="0.25">
      <c r="A387" s="195" t="s">
        <v>671</v>
      </c>
      <c r="B387" s="41" t="s">
        <v>672</v>
      </c>
      <c r="C387" s="11">
        <v>500000</v>
      </c>
      <c r="D387" s="221" t="s">
        <v>1053</v>
      </c>
      <c r="E387" s="249"/>
      <c r="F387" s="262"/>
      <c r="G387" s="262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L387" s="7">
        <v>500000</v>
      </c>
      <c r="DS387" s="14"/>
      <c r="DT387" s="14"/>
      <c r="DU387" s="14"/>
    </row>
    <row r="388" spans="1:186" s="7" customFormat="1" x14ac:dyDescent="0.25">
      <c r="A388" s="195" t="s">
        <v>671</v>
      </c>
      <c r="B388" s="41" t="s">
        <v>1124</v>
      </c>
      <c r="C388" s="11">
        <v>-20000</v>
      </c>
      <c r="D388" s="11" t="s">
        <v>1054</v>
      </c>
      <c r="E388" s="11"/>
      <c r="F388" s="11"/>
      <c r="G388" s="11"/>
      <c r="Z388" s="14"/>
      <c r="AA388" s="14"/>
      <c r="AB388" s="14"/>
      <c r="AC388" s="14"/>
      <c r="AD388" s="14">
        <v>20000</v>
      </c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DS388" s="14"/>
      <c r="DT388" s="14"/>
      <c r="DU388" s="14"/>
    </row>
    <row r="389" spans="1:186" s="7" customFormat="1" x14ac:dyDescent="0.25">
      <c r="A389" s="195" t="s">
        <v>671</v>
      </c>
      <c r="B389" s="41" t="s">
        <v>675</v>
      </c>
      <c r="C389" s="11">
        <v>-50000</v>
      </c>
      <c r="D389" s="11" t="s">
        <v>1055</v>
      </c>
      <c r="E389" s="11"/>
      <c r="F389" s="11"/>
      <c r="G389" s="11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DS389" s="14"/>
      <c r="DT389" s="14"/>
      <c r="DU389" s="14"/>
      <c r="FT389" s="7">
        <v>50000</v>
      </c>
    </row>
    <row r="390" spans="1:186" s="7" customFormat="1" x14ac:dyDescent="0.25">
      <c r="A390" s="195" t="s">
        <v>671</v>
      </c>
      <c r="B390" s="41" t="s">
        <v>678</v>
      </c>
      <c r="C390" s="11">
        <v>-35</v>
      </c>
      <c r="D390" s="11" t="s">
        <v>1056</v>
      </c>
      <c r="E390" s="11"/>
      <c r="F390" s="11"/>
      <c r="G390" s="11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DS390" s="14"/>
      <c r="DT390" s="14"/>
      <c r="DU390" s="14"/>
      <c r="EP390" s="7">
        <v>35</v>
      </c>
    </row>
    <row r="391" spans="1:186" s="7" customFormat="1" x14ac:dyDescent="0.25">
      <c r="A391" s="195" t="s">
        <v>671</v>
      </c>
      <c r="B391" s="18" t="s">
        <v>1058</v>
      </c>
      <c r="C391" s="11">
        <v>-132000</v>
      </c>
      <c r="D391" s="11" t="s">
        <v>1057</v>
      </c>
      <c r="E391" s="11"/>
      <c r="F391" s="11"/>
      <c r="G391" s="11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>
        <v>132000</v>
      </c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DS391" s="14"/>
      <c r="DT391" s="14"/>
      <c r="DU391" s="14"/>
    </row>
    <row r="392" spans="1:186" s="7" customFormat="1" x14ac:dyDescent="0.25">
      <c r="A392" s="195" t="s">
        <v>671</v>
      </c>
      <c r="B392" s="18" t="s">
        <v>1060</v>
      </c>
      <c r="C392" s="11">
        <v>-40000</v>
      </c>
      <c r="D392" s="11" t="s">
        <v>1059</v>
      </c>
      <c r="E392" s="11"/>
      <c r="F392" s="11"/>
      <c r="G392" s="11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>
        <v>40000</v>
      </c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DS392" s="14"/>
      <c r="DT392" s="14"/>
      <c r="DU392" s="14"/>
    </row>
    <row r="393" spans="1:186" s="7" customFormat="1" x14ac:dyDescent="0.25">
      <c r="A393" s="195" t="s">
        <v>671</v>
      </c>
      <c r="B393" s="41" t="s">
        <v>677</v>
      </c>
      <c r="C393" s="11">
        <v>-40</v>
      </c>
      <c r="D393" s="11" t="s">
        <v>1061</v>
      </c>
      <c r="E393" s="11"/>
      <c r="F393" s="11"/>
      <c r="G393" s="11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DS393" s="14"/>
      <c r="DT393" s="14"/>
      <c r="DU393" s="14"/>
      <c r="EK393" s="7">
        <v>40</v>
      </c>
    </row>
    <row r="394" spans="1:186" s="58" customFormat="1" x14ac:dyDescent="0.25">
      <c r="A394" s="196" t="s">
        <v>679</v>
      </c>
      <c r="B394" s="84" t="s">
        <v>707</v>
      </c>
      <c r="C394" s="136">
        <v>-11805</v>
      </c>
      <c r="D394" s="221" t="s">
        <v>1063</v>
      </c>
      <c r="E394" s="249"/>
      <c r="F394" s="262"/>
      <c r="G394" s="262"/>
      <c r="Z394" s="56"/>
      <c r="AA394" s="56"/>
      <c r="AB394" s="56">
        <v>11805</v>
      </c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DS394" s="56"/>
      <c r="DT394" s="56"/>
      <c r="DU394" s="56"/>
    </row>
    <row r="395" spans="1:186" s="7" customFormat="1" x14ac:dyDescent="0.25">
      <c r="A395" s="11"/>
      <c r="B395" s="41" t="s">
        <v>723</v>
      </c>
      <c r="C395" s="11"/>
      <c r="D395" s="11"/>
      <c r="E395" s="11"/>
      <c r="F395" s="11"/>
      <c r="G395" s="11"/>
      <c r="Z395" s="14"/>
      <c r="AA395" s="14"/>
      <c r="AB395" s="14">
        <f>-1460-80-100-155-632-200-185-740-50-140-615-575-465-45-356-465-325-585-440-498</f>
        <v>-8111</v>
      </c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DS395" s="14"/>
      <c r="DT395" s="14"/>
      <c r="DU395" s="14"/>
      <c r="EK395" s="7">
        <f>8111</f>
        <v>8111</v>
      </c>
    </row>
    <row r="396" spans="1:186" s="100" customFormat="1" ht="30" x14ac:dyDescent="0.25">
      <c r="A396" s="99"/>
      <c r="B396" s="98" t="s">
        <v>1253</v>
      </c>
      <c r="D396" s="99"/>
      <c r="E396" s="99"/>
      <c r="F396" s="99"/>
      <c r="G396" s="99"/>
      <c r="Z396" s="101"/>
      <c r="AA396" s="101"/>
      <c r="AB396" s="102">
        <f>-800-2480-500-4235-19210-370-2085-18845-550-2520-5070-5800-13740-3537-2000-220</f>
        <v>-81962</v>
      </c>
      <c r="AC396" s="102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1"/>
      <c r="AP396" s="101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1"/>
      <c r="BB396" s="101"/>
      <c r="BC396" s="101"/>
      <c r="BD396" s="101"/>
      <c r="BE396" s="101"/>
      <c r="BF396" s="101"/>
      <c r="BG396" s="101"/>
      <c r="DS396" s="101"/>
      <c r="DT396" s="101"/>
      <c r="DU396" s="101"/>
      <c r="FC396" s="100">
        <f>81962</f>
        <v>81962</v>
      </c>
    </row>
    <row r="397" spans="1:186" s="110" customFormat="1" ht="30" x14ac:dyDescent="0.25">
      <c r="A397" s="112"/>
      <c r="B397" s="111" t="s">
        <v>970</v>
      </c>
      <c r="C397" s="112"/>
      <c r="D397" s="112"/>
      <c r="E397" s="112"/>
      <c r="F397" s="112"/>
      <c r="G397" s="112"/>
      <c r="Z397" s="113"/>
      <c r="AA397" s="113"/>
      <c r="AB397" s="113">
        <f>-1170-100-10-65-240-275-215-60-210-290-270-276-360-480-255-35-110-107-55-30-410-65-30-125-165-160-2170</f>
        <v>-7738</v>
      </c>
      <c r="AC397" s="113"/>
      <c r="AD397" s="113"/>
      <c r="AE397" s="113"/>
      <c r="AF397" s="113"/>
      <c r="AG397" s="113"/>
      <c r="AH397" s="113"/>
      <c r="AI397" s="113"/>
      <c r="AJ397" s="113"/>
      <c r="AK397" s="113"/>
      <c r="AL397" s="113"/>
      <c r="AM397" s="113"/>
      <c r="AN397" s="113"/>
      <c r="AO397" s="113"/>
      <c r="AP397" s="113"/>
      <c r="AQ397" s="113"/>
      <c r="AR397" s="113"/>
      <c r="AS397" s="113"/>
      <c r="AT397" s="113"/>
      <c r="AU397" s="113"/>
      <c r="AV397" s="113"/>
      <c r="AW397" s="113"/>
      <c r="AX397" s="113"/>
      <c r="AY397" s="113"/>
      <c r="AZ397" s="113"/>
      <c r="BA397" s="113"/>
      <c r="BB397" s="113"/>
      <c r="BC397" s="113"/>
      <c r="BD397" s="113"/>
      <c r="BE397" s="113"/>
      <c r="BF397" s="113"/>
      <c r="BG397" s="113"/>
      <c r="DS397" s="113"/>
      <c r="DT397" s="113"/>
      <c r="DU397" s="113"/>
      <c r="FE397" s="110">
        <f>7738</f>
        <v>7738</v>
      </c>
    </row>
    <row r="398" spans="1:186" s="7" customFormat="1" x14ac:dyDescent="0.25">
      <c r="A398" s="11"/>
      <c r="B398" s="41" t="s">
        <v>724</v>
      </c>
      <c r="C398" s="11"/>
      <c r="D398" s="11"/>
      <c r="E398" s="11"/>
      <c r="F398" s="11"/>
      <c r="G398" s="11"/>
      <c r="Z398" s="14"/>
      <c r="AA398" s="14"/>
      <c r="AB398" s="14">
        <f>-600-840-715-125-160-1080</f>
        <v>-3520</v>
      </c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DS398" s="14"/>
      <c r="DT398" s="14"/>
      <c r="DU398" s="14"/>
      <c r="FL398" s="7">
        <f>600+840+715+125+160+1080</f>
        <v>3520</v>
      </c>
    </row>
    <row r="399" spans="1:186" s="7" customFormat="1" x14ac:dyDescent="0.25">
      <c r="A399" s="11"/>
      <c r="B399" s="41" t="s">
        <v>725</v>
      </c>
      <c r="C399" s="11"/>
      <c r="D399" s="11"/>
      <c r="E399" s="11"/>
      <c r="F399" s="11"/>
      <c r="G399" s="11"/>
      <c r="Z399" s="14"/>
      <c r="AA399" s="14"/>
      <c r="AB399" s="14">
        <f>-300-200-1000-1000</f>
        <v>-2500</v>
      </c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DS399" s="14"/>
      <c r="DT399" s="14"/>
      <c r="DU399" s="14"/>
      <c r="EQ399" s="7">
        <f>1300+200+1000</f>
        <v>2500</v>
      </c>
    </row>
    <row r="400" spans="1:186" s="7" customFormat="1" x14ac:dyDescent="0.25">
      <c r="A400" s="11"/>
      <c r="B400" s="41" t="s">
        <v>726</v>
      </c>
      <c r="C400" s="11"/>
      <c r="D400" s="11"/>
      <c r="E400" s="11"/>
      <c r="F400" s="11"/>
      <c r="G400" s="11"/>
      <c r="Z400" s="14"/>
      <c r="AA400" s="14"/>
      <c r="AB400" s="14">
        <f>-1300</f>
        <v>-1300</v>
      </c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DS400" s="14"/>
      <c r="DT400" s="14"/>
      <c r="DU400" s="14"/>
      <c r="ET400" s="7">
        <f>1300</f>
        <v>1300</v>
      </c>
    </row>
    <row r="401" spans="1:169" s="7" customFormat="1" x14ac:dyDescent="0.25">
      <c r="A401" s="11"/>
      <c r="B401" s="41" t="s">
        <v>727</v>
      </c>
      <c r="C401" s="11"/>
      <c r="D401" s="11"/>
      <c r="E401" s="11"/>
      <c r="F401" s="11"/>
      <c r="G401" s="11"/>
      <c r="Z401" s="14"/>
      <c r="AA401" s="14"/>
      <c r="AB401" s="7">
        <f>-7000-5300-9700</f>
        <v>-22000</v>
      </c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DS401" s="14"/>
      <c r="DT401" s="14"/>
      <c r="DU401" s="14"/>
      <c r="FA401" s="7">
        <f>7000+5300+9700</f>
        <v>22000</v>
      </c>
    </row>
    <row r="402" spans="1:169" x14ac:dyDescent="0.25">
      <c r="B402" s="18" t="s">
        <v>728</v>
      </c>
      <c r="AB402" s="14">
        <f>-1000-13000-18000-6760-2320-13500-1800-4000</f>
        <v>-60380</v>
      </c>
      <c r="AC402" s="14"/>
      <c r="DY402" s="1">
        <f>18000</f>
        <v>18000</v>
      </c>
      <c r="DZ402" s="1">
        <f>2320+13500</f>
        <v>15820</v>
      </c>
      <c r="ED402" s="1">
        <f>1800</f>
        <v>1800</v>
      </c>
      <c r="EE402" s="1">
        <f>4000</f>
        <v>4000</v>
      </c>
      <c r="FM402" s="1">
        <f>14000+6760</f>
        <v>20760</v>
      </c>
    </row>
    <row r="403" spans="1:169" x14ac:dyDescent="0.25">
      <c r="B403" s="18" t="s">
        <v>729</v>
      </c>
      <c r="AB403" s="1">
        <f>-9000-17900-5000-2000</f>
        <v>-33900</v>
      </c>
      <c r="ER403" s="1">
        <f>9000+17900+5000+2000</f>
        <v>33900</v>
      </c>
    </row>
    <row r="404" spans="1:169" x14ac:dyDescent="0.25">
      <c r="B404" s="18" t="s">
        <v>730</v>
      </c>
      <c r="AB404" s="1">
        <f>-14000-350-500-1000</f>
        <v>-15850</v>
      </c>
      <c r="ES404" s="1">
        <f>14000+350+500+1000</f>
        <v>15850</v>
      </c>
    </row>
    <row r="405" spans="1:169" x14ac:dyDescent="0.25">
      <c r="B405" s="18" t="s">
        <v>731</v>
      </c>
      <c r="AB405" s="1">
        <f>-2350-7839</f>
        <v>-10189</v>
      </c>
      <c r="EL405" s="1">
        <v>10189</v>
      </c>
    </row>
    <row r="406" spans="1:169" x14ac:dyDescent="0.25">
      <c r="B406" s="18" t="s">
        <v>732</v>
      </c>
      <c r="AB406" s="1">
        <f>-8500-5000</f>
        <v>-13500</v>
      </c>
      <c r="EJ406" s="1">
        <v>13500</v>
      </c>
    </row>
    <row r="407" spans="1:169" x14ac:dyDescent="0.25">
      <c r="B407" s="18" t="s">
        <v>733</v>
      </c>
      <c r="AB407" s="1">
        <f>-320-335-500</f>
        <v>-1155</v>
      </c>
      <c r="EG407" s="1">
        <v>1155</v>
      </c>
    </row>
    <row r="408" spans="1:169" x14ac:dyDescent="0.25">
      <c r="B408" s="18" t="s">
        <v>734</v>
      </c>
      <c r="AB408" s="1">
        <v>-10000</v>
      </c>
      <c r="AI408" s="1">
        <v>10000</v>
      </c>
    </row>
    <row r="409" spans="1:169" x14ac:dyDescent="0.25">
      <c r="B409" s="18" t="s">
        <v>735</v>
      </c>
      <c r="AB409" s="1">
        <v>-2000</v>
      </c>
      <c r="AJ409" s="1">
        <v>2000</v>
      </c>
    </row>
    <row r="410" spans="1:169" x14ac:dyDescent="0.25">
      <c r="B410" s="18" t="s">
        <v>736</v>
      </c>
      <c r="AB410" s="1">
        <v>-200</v>
      </c>
      <c r="EM410" s="1">
        <v>200</v>
      </c>
    </row>
    <row r="411" spans="1:169" x14ac:dyDescent="0.25">
      <c r="B411" s="18" t="s">
        <v>737</v>
      </c>
      <c r="V411" s="1">
        <v>17000</v>
      </c>
      <c r="AB411" s="1">
        <v>-17000</v>
      </c>
    </row>
    <row r="412" spans="1:169" x14ac:dyDescent="0.25">
      <c r="B412" s="18" t="s">
        <v>738</v>
      </c>
      <c r="Q412" s="1">
        <v>500</v>
      </c>
      <c r="AB412" s="1">
        <v>-500</v>
      </c>
    </row>
    <row r="413" spans="1:169" s="7" customFormat="1" x14ac:dyDescent="0.25">
      <c r="A413" s="11" t="s">
        <v>680</v>
      </c>
      <c r="B413" s="41" t="s">
        <v>1066</v>
      </c>
      <c r="C413" s="11">
        <v>700000</v>
      </c>
      <c r="D413" s="11" t="s">
        <v>1065</v>
      </c>
      <c r="E413" s="11"/>
      <c r="F413" s="11"/>
      <c r="G413" s="11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K413" s="7">
        <v>700000</v>
      </c>
      <c r="DS413" s="14"/>
      <c r="DT413" s="14"/>
      <c r="DU413" s="14"/>
    </row>
    <row r="414" spans="1:169" s="7" customFormat="1" x14ac:dyDescent="0.25">
      <c r="A414" s="11" t="s">
        <v>680</v>
      </c>
      <c r="B414" s="18" t="s">
        <v>681</v>
      </c>
      <c r="C414" s="11">
        <v>-376734</v>
      </c>
      <c r="D414" s="11" t="s">
        <v>1064</v>
      </c>
      <c r="E414" s="11"/>
      <c r="F414" s="11"/>
      <c r="G414" s="11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DC414" s="7">
        <v>376734</v>
      </c>
      <c r="DS414" s="14"/>
      <c r="DT414" s="14"/>
      <c r="DU414" s="14"/>
    </row>
    <row r="415" spans="1:169" s="7" customFormat="1" x14ac:dyDescent="0.25">
      <c r="A415" s="11" t="s">
        <v>680</v>
      </c>
      <c r="B415" s="7" t="s">
        <v>682</v>
      </c>
      <c r="C415" s="7">
        <v>-46</v>
      </c>
      <c r="D415" s="11" t="s">
        <v>1067</v>
      </c>
      <c r="E415" s="11"/>
      <c r="F415" s="11"/>
      <c r="G415" s="11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DF415" s="7">
        <v>46</v>
      </c>
      <c r="DS415" s="14"/>
      <c r="DT415" s="14"/>
      <c r="DU415" s="14"/>
    </row>
    <row r="416" spans="1:169" s="7" customFormat="1" x14ac:dyDescent="0.25">
      <c r="A416" s="11" t="s">
        <v>680</v>
      </c>
      <c r="B416" s="7" t="s">
        <v>683</v>
      </c>
      <c r="C416" s="7">
        <v>-25</v>
      </c>
      <c r="D416" s="11" t="s">
        <v>1068</v>
      </c>
      <c r="E416" s="11"/>
      <c r="F416" s="11"/>
      <c r="G416" s="11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DS416" s="14"/>
      <c r="DT416" s="14"/>
      <c r="DU416" s="14"/>
      <c r="EK416" s="7">
        <v>25</v>
      </c>
    </row>
    <row r="417" spans="1:146" s="7" customFormat="1" x14ac:dyDescent="0.25">
      <c r="A417" s="11" t="s">
        <v>680</v>
      </c>
      <c r="B417" s="7" t="s">
        <v>687</v>
      </c>
      <c r="C417" s="7">
        <v>-58</v>
      </c>
      <c r="D417" s="11" t="s">
        <v>1069</v>
      </c>
      <c r="E417" s="11"/>
      <c r="F417" s="11"/>
      <c r="G417" s="11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DF417" s="7">
        <v>58</v>
      </c>
      <c r="DS417" s="14"/>
      <c r="DT417" s="14"/>
      <c r="DU417" s="14"/>
    </row>
    <row r="418" spans="1:146" s="7" customFormat="1" x14ac:dyDescent="0.25">
      <c r="A418" s="11" t="s">
        <v>680</v>
      </c>
      <c r="B418" s="7" t="s">
        <v>688</v>
      </c>
      <c r="C418" s="7">
        <v>-15</v>
      </c>
      <c r="D418" s="11" t="s">
        <v>1070</v>
      </c>
      <c r="E418" s="11"/>
      <c r="F418" s="11"/>
      <c r="G418" s="11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CO418" s="7">
        <v>15</v>
      </c>
      <c r="DS418" s="14"/>
      <c r="DT418" s="14"/>
      <c r="DU418" s="14"/>
    </row>
    <row r="419" spans="1:146" s="58" customFormat="1" x14ac:dyDescent="0.25">
      <c r="A419" s="196" t="s">
        <v>680</v>
      </c>
      <c r="B419" s="58" t="s">
        <v>2079</v>
      </c>
      <c r="D419" s="221" t="s">
        <v>1075</v>
      </c>
      <c r="E419" s="249"/>
      <c r="F419" s="262"/>
      <c r="G419" s="262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DS419" s="56"/>
      <c r="DT419" s="56"/>
      <c r="DU419" s="56"/>
    </row>
    <row r="420" spans="1:146" s="7" customFormat="1" x14ac:dyDescent="0.25">
      <c r="A420" s="11"/>
      <c r="B420" s="7" t="s">
        <v>1071</v>
      </c>
      <c r="D420" s="11"/>
      <c r="E420" s="11"/>
      <c r="F420" s="11"/>
      <c r="G420" s="11"/>
      <c r="S420" s="7">
        <v>-15000</v>
      </c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DS420" s="14"/>
      <c r="DT420" s="14"/>
      <c r="DU420" s="14"/>
    </row>
    <row r="421" spans="1:146" s="7" customFormat="1" x14ac:dyDescent="0.25">
      <c r="A421" s="11"/>
      <c r="B421" s="7" t="s">
        <v>1072</v>
      </c>
      <c r="D421" s="11"/>
      <c r="E421" s="11"/>
      <c r="F421" s="11"/>
      <c r="G421" s="11"/>
      <c r="V421" s="7">
        <v>-5000</v>
      </c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DS421" s="14"/>
      <c r="DT421" s="14"/>
      <c r="DU421" s="14"/>
    </row>
    <row r="422" spans="1:146" s="7" customFormat="1" x14ac:dyDescent="0.25">
      <c r="A422" s="11"/>
      <c r="B422" s="7" t="s">
        <v>1073</v>
      </c>
      <c r="D422" s="11"/>
      <c r="E422" s="11"/>
      <c r="F422" s="11"/>
      <c r="G422" s="11"/>
      <c r="T422" s="7">
        <v>-4000</v>
      </c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DS422" s="14"/>
      <c r="DT422" s="14"/>
      <c r="DU422" s="14"/>
    </row>
    <row r="423" spans="1:146" s="7" customFormat="1" x14ac:dyDescent="0.25">
      <c r="A423" s="11"/>
      <c r="B423" s="7" t="s">
        <v>1074</v>
      </c>
      <c r="D423" s="11"/>
      <c r="E423" s="11"/>
      <c r="F423" s="11"/>
      <c r="G423" s="11"/>
      <c r="Q423" s="7">
        <v>-500</v>
      </c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DS423" s="14"/>
      <c r="DT423" s="14"/>
      <c r="DU423" s="14"/>
    </row>
    <row r="424" spans="1:146" s="7" customFormat="1" x14ac:dyDescent="0.25">
      <c r="A424" s="11" t="s">
        <v>680</v>
      </c>
      <c r="B424" s="18" t="s">
        <v>659</v>
      </c>
      <c r="C424" s="11">
        <v>-132000</v>
      </c>
      <c r="D424" s="11" t="s">
        <v>1082</v>
      </c>
      <c r="E424" s="11"/>
      <c r="F424" s="11"/>
      <c r="G424" s="11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>
        <v>132000</v>
      </c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DS424" s="14"/>
      <c r="DT424" s="14"/>
      <c r="DU424" s="14"/>
    </row>
    <row r="425" spans="1:146" s="7" customFormat="1" x14ac:dyDescent="0.25">
      <c r="A425" s="11" t="s">
        <v>680</v>
      </c>
      <c r="B425" s="18" t="s">
        <v>684</v>
      </c>
      <c r="C425" s="11">
        <v>-32000</v>
      </c>
      <c r="D425" s="11" t="s">
        <v>1083</v>
      </c>
      <c r="E425" s="11"/>
      <c r="F425" s="11"/>
      <c r="G425" s="11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DA425" s="7">
        <v>32000</v>
      </c>
      <c r="DS425" s="14"/>
      <c r="DT425" s="14"/>
      <c r="DU425" s="14"/>
    </row>
    <row r="426" spans="1:146" x14ac:dyDescent="0.25">
      <c r="A426" s="11" t="s">
        <v>686</v>
      </c>
      <c r="B426" s="41" t="s">
        <v>1125</v>
      </c>
      <c r="C426" s="95">
        <v>-50000</v>
      </c>
      <c r="D426" s="11" t="s">
        <v>1084</v>
      </c>
      <c r="E426" s="11"/>
      <c r="F426" s="11"/>
      <c r="G426" s="11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>
        <v>50000</v>
      </c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</row>
    <row r="427" spans="1:146" x14ac:dyDescent="0.25">
      <c r="A427" s="11" t="s">
        <v>686</v>
      </c>
      <c r="B427" s="84" t="s">
        <v>1126</v>
      </c>
      <c r="C427" s="140"/>
      <c r="D427" s="11"/>
      <c r="E427" s="11"/>
      <c r="F427" s="11"/>
      <c r="G427" s="11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>
        <v>-50000</v>
      </c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</row>
    <row r="428" spans="1:146" x14ac:dyDescent="0.25">
      <c r="A428" s="11"/>
      <c r="B428" s="84" t="s">
        <v>1127</v>
      </c>
      <c r="C428" s="140"/>
      <c r="D428" s="11"/>
      <c r="E428" s="11"/>
      <c r="F428" s="11"/>
      <c r="G428" s="11"/>
      <c r="Z428" s="14"/>
      <c r="AA428" s="14"/>
      <c r="AB428" s="14"/>
      <c r="AC428" s="14"/>
      <c r="AD428" s="14">
        <v>50000</v>
      </c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</row>
    <row r="429" spans="1:146" s="7" customFormat="1" x14ac:dyDescent="0.25">
      <c r="A429" s="11" t="s">
        <v>714</v>
      </c>
      <c r="B429" s="18" t="s">
        <v>715</v>
      </c>
      <c r="C429" s="11">
        <v>-70000</v>
      </c>
      <c r="D429" s="11" t="s">
        <v>1085</v>
      </c>
      <c r="E429" s="11"/>
      <c r="F429" s="11"/>
      <c r="G429" s="11"/>
      <c r="Z429" s="14"/>
      <c r="AA429" s="14"/>
      <c r="AB429" s="14">
        <v>70000</v>
      </c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DS429" s="14"/>
      <c r="DT429" s="14"/>
      <c r="DU429" s="14"/>
    </row>
    <row r="430" spans="1:146" s="7" customFormat="1" x14ac:dyDescent="0.25">
      <c r="A430" s="11" t="s">
        <v>716</v>
      </c>
      <c r="B430" s="18" t="s">
        <v>1086</v>
      </c>
      <c r="C430" s="11">
        <v>-40000</v>
      </c>
      <c r="D430" s="11" t="s">
        <v>1087</v>
      </c>
      <c r="E430" s="11"/>
      <c r="F430" s="11"/>
      <c r="G430" s="11"/>
      <c r="Z430" s="14"/>
      <c r="AA430" s="14"/>
      <c r="AB430" s="14"/>
      <c r="AC430" s="14"/>
      <c r="AD430" s="14"/>
      <c r="AE430" s="14"/>
      <c r="AF430" s="14"/>
      <c r="AG430" s="14"/>
      <c r="AH430" s="14">
        <v>40000</v>
      </c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DS430" s="14"/>
      <c r="DT430" s="14"/>
      <c r="DU430" s="14"/>
    </row>
    <row r="431" spans="1:146" s="7" customFormat="1" x14ac:dyDescent="0.25">
      <c r="A431" s="11" t="s">
        <v>716</v>
      </c>
      <c r="B431" s="18" t="s">
        <v>576</v>
      </c>
      <c r="C431" s="11">
        <v>-23</v>
      </c>
      <c r="D431" s="11" t="s">
        <v>1088</v>
      </c>
      <c r="E431" s="11"/>
      <c r="F431" s="11"/>
      <c r="G431" s="11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DS431" s="14"/>
      <c r="DT431" s="14"/>
      <c r="DU431" s="14"/>
      <c r="EP431" s="7">
        <v>23</v>
      </c>
    </row>
    <row r="432" spans="1:146" s="7" customFormat="1" x14ac:dyDescent="0.25">
      <c r="A432" s="11" t="s">
        <v>716</v>
      </c>
      <c r="B432" s="18" t="s">
        <v>717</v>
      </c>
      <c r="C432" s="11">
        <v>-28000</v>
      </c>
      <c r="D432" s="11" t="s">
        <v>1089</v>
      </c>
      <c r="E432" s="11"/>
      <c r="F432" s="11"/>
      <c r="G432" s="11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>
        <v>28000</v>
      </c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DS432" s="14"/>
      <c r="DT432" s="14"/>
      <c r="DU432" s="14"/>
    </row>
    <row r="433" spans="1:173" s="7" customFormat="1" x14ac:dyDescent="0.25">
      <c r="A433" s="11" t="s">
        <v>739</v>
      </c>
      <c r="B433" s="18" t="s">
        <v>740</v>
      </c>
      <c r="C433" s="11">
        <v>-30000</v>
      </c>
      <c r="D433" s="11" t="s">
        <v>1090</v>
      </c>
      <c r="E433" s="11"/>
      <c r="F433" s="11"/>
      <c r="G433" s="11"/>
      <c r="Z433" s="14"/>
      <c r="AA433" s="14"/>
      <c r="AB433" s="14">
        <v>30000</v>
      </c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DS433" s="14"/>
      <c r="DT433" s="14"/>
      <c r="DU433" s="14"/>
    </row>
    <row r="434" spans="1:173" s="7" customFormat="1" x14ac:dyDescent="0.25">
      <c r="A434" s="11" t="s">
        <v>739</v>
      </c>
      <c r="B434" s="18" t="s">
        <v>659</v>
      </c>
      <c r="C434" s="11">
        <v>-132000</v>
      </c>
      <c r="D434" s="11" t="s">
        <v>1091</v>
      </c>
      <c r="E434" s="11"/>
      <c r="F434" s="11"/>
      <c r="G434" s="11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>
        <v>132000</v>
      </c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DS434" s="14"/>
      <c r="DT434" s="14"/>
      <c r="DU434" s="14"/>
    </row>
    <row r="435" spans="1:173" s="7" customFormat="1" x14ac:dyDescent="0.25">
      <c r="A435" s="11" t="s">
        <v>739</v>
      </c>
      <c r="B435" s="41" t="s">
        <v>774</v>
      </c>
      <c r="C435" s="11">
        <v>-10</v>
      </c>
      <c r="D435" s="11" t="s">
        <v>1092</v>
      </c>
      <c r="E435" s="11"/>
      <c r="F435" s="11"/>
      <c r="G435" s="11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DS435" s="14"/>
      <c r="DT435" s="14"/>
      <c r="DU435" s="14"/>
      <c r="EK435" s="7">
        <v>10</v>
      </c>
    </row>
    <row r="436" spans="1:173" s="110" customFormat="1" x14ac:dyDescent="0.25">
      <c r="A436" s="112" t="s">
        <v>824</v>
      </c>
      <c r="B436" s="116" t="s">
        <v>825</v>
      </c>
      <c r="C436" s="112">
        <v>-50000</v>
      </c>
      <c r="D436" s="112" t="s">
        <v>1102</v>
      </c>
      <c r="E436" s="112"/>
      <c r="F436" s="112"/>
      <c r="G436" s="112"/>
      <c r="Z436" s="113"/>
      <c r="AA436" s="113"/>
      <c r="AB436" s="113">
        <v>50000</v>
      </c>
      <c r="AC436" s="113"/>
      <c r="AD436" s="113"/>
      <c r="AE436" s="113"/>
      <c r="AF436" s="113"/>
      <c r="AG436" s="113"/>
      <c r="AH436" s="113"/>
      <c r="AI436" s="113"/>
      <c r="AJ436" s="113"/>
      <c r="AK436" s="113"/>
      <c r="AL436" s="113"/>
      <c r="AM436" s="113"/>
      <c r="AN436" s="113"/>
      <c r="AO436" s="113"/>
      <c r="AP436" s="113"/>
      <c r="AQ436" s="113"/>
      <c r="AR436" s="113"/>
      <c r="AS436" s="113"/>
      <c r="AT436" s="113"/>
      <c r="AU436" s="113"/>
      <c r="AV436" s="113"/>
      <c r="AW436" s="113"/>
      <c r="AX436" s="113"/>
      <c r="AY436" s="113"/>
      <c r="AZ436" s="113"/>
      <c r="BA436" s="113"/>
      <c r="BB436" s="113"/>
      <c r="BC436" s="113"/>
      <c r="BD436" s="113"/>
      <c r="BE436" s="113"/>
      <c r="BF436" s="113"/>
      <c r="BG436" s="113"/>
      <c r="DS436" s="113"/>
      <c r="DT436" s="113"/>
      <c r="DU436" s="113"/>
    </row>
    <row r="437" spans="1:173" s="7" customFormat="1" x14ac:dyDescent="0.25">
      <c r="A437" s="112" t="s">
        <v>824</v>
      </c>
      <c r="B437" s="41" t="s">
        <v>826</v>
      </c>
      <c r="C437" s="11">
        <v>-30</v>
      </c>
      <c r="D437" s="11" t="s">
        <v>1103</v>
      </c>
      <c r="E437" s="11"/>
      <c r="F437" s="11"/>
      <c r="G437" s="11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DS437" s="14"/>
      <c r="DT437" s="14"/>
      <c r="DU437" s="14"/>
      <c r="EK437" s="7">
        <v>30</v>
      </c>
    </row>
    <row r="438" spans="1:173" s="7" customFormat="1" x14ac:dyDescent="0.25">
      <c r="A438" s="112" t="s">
        <v>824</v>
      </c>
      <c r="B438" s="41" t="s">
        <v>871</v>
      </c>
      <c r="C438" s="11">
        <v>-28000</v>
      </c>
      <c r="D438" s="11" t="s">
        <v>1104</v>
      </c>
      <c r="E438" s="11"/>
      <c r="F438" s="11"/>
      <c r="G438" s="11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DQ438" s="7">
        <v>28000</v>
      </c>
      <c r="DS438" s="14"/>
      <c r="DT438" s="14"/>
      <c r="DU438" s="14"/>
    </row>
    <row r="439" spans="1:173" x14ac:dyDescent="0.25">
      <c r="A439" s="195" t="s">
        <v>882</v>
      </c>
      <c r="B439" s="18" t="s">
        <v>872</v>
      </c>
      <c r="C439" s="1">
        <v>-50000</v>
      </c>
      <c r="D439" s="11" t="s">
        <v>1105</v>
      </c>
      <c r="E439" s="11"/>
      <c r="F439" s="11"/>
      <c r="G439" s="11"/>
      <c r="AB439" s="1">
        <v>50000</v>
      </c>
    </row>
    <row r="440" spans="1:173" x14ac:dyDescent="0.25">
      <c r="A440" s="195" t="s">
        <v>883</v>
      </c>
      <c r="B440" s="18" t="s">
        <v>881</v>
      </c>
      <c r="C440" s="1">
        <v>-20000</v>
      </c>
      <c r="D440" s="11" t="s">
        <v>1106</v>
      </c>
      <c r="E440" s="11"/>
      <c r="F440" s="11"/>
      <c r="G440" s="11"/>
      <c r="DO440" s="1">
        <v>20000</v>
      </c>
    </row>
    <row r="441" spans="1:173" x14ac:dyDescent="0.25">
      <c r="A441" s="195" t="s">
        <v>883</v>
      </c>
      <c r="B441" s="18" t="s">
        <v>670</v>
      </c>
      <c r="C441" s="1">
        <v>-25000</v>
      </c>
      <c r="D441" s="11" t="s">
        <v>1107</v>
      </c>
      <c r="E441" s="11"/>
      <c r="F441" s="11"/>
      <c r="G441" s="11"/>
      <c r="AG441" s="1">
        <v>25000</v>
      </c>
    </row>
    <row r="442" spans="1:173" x14ac:dyDescent="0.25">
      <c r="A442" s="195" t="s">
        <v>883</v>
      </c>
      <c r="B442" s="18" t="s">
        <v>889</v>
      </c>
      <c r="C442" s="1">
        <v>-9850</v>
      </c>
      <c r="D442" s="11" t="s">
        <v>1108</v>
      </c>
      <c r="E442" s="11"/>
      <c r="F442" s="11"/>
      <c r="G442" s="11"/>
      <c r="FC442" s="1">
        <v>9850</v>
      </c>
    </row>
    <row r="443" spans="1:173" x14ac:dyDescent="0.25">
      <c r="A443" s="195" t="s">
        <v>887</v>
      </c>
      <c r="B443" s="18" t="s">
        <v>885</v>
      </c>
      <c r="C443" s="1">
        <v>-40000</v>
      </c>
      <c r="D443" s="11" t="s">
        <v>1109</v>
      </c>
      <c r="E443" s="11"/>
      <c r="F443" s="11"/>
      <c r="G443" s="11"/>
      <c r="AB443" s="1">
        <v>40000</v>
      </c>
    </row>
    <row r="444" spans="1:173" x14ac:dyDescent="0.25">
      <c r="A444" s="195" t="s">
        <v>887</v>
      </c>
      <c r="B444" s="18" t="s">
        <v>886</v>
      </c>
      <c r="C444" s="1">
        <v>-785</v>
      </c>
      <c r="D444" s="11" t="s">
        <v>1110</v>
      </c>
      <c r="E444" s="11"/>
      <c r="F444" s="11"/>
      <c r="G444" s="11"/>
      <c r="EY444" s="1">
        <v>785</v>
      </c>
    </row>
    <row r="445" spans="1:173" x14ac:dyDescent="0.25">
      <c r="A445" s="195" t="s">
        <v>887</v>
      </c>
      <c r="B445" s="18" t="s">
        <v>890</v>
      </c>
      <c r="C445" s="1">
        <f>-15480-9000-3360-1440-6480-9600-1400-600</f>
        <v>-47360</v>
      </c>
      <c r="D445" s="11" t="s">
        <v>1111</v>
      </c>
      <c r="E445" s="11"/>
      <c r="F445" s="11"/>
      <c r="G445" s="11"/>
      <c r="FQ445" s="1">
        <f>15480+9000+3360+1440+6480+9600+1400+600</f>
        <v>47360</v>
      </c>
    </row>
    <row r="446" spans="1:173" x14ac:dyDescent="0.25">
      <c r="A446" s="195" t="s">
        <v>891</v>
      </c>
      <c r="B446" s="18" t="s">
        <v>892</v>
      </c>
      <c r="C446" s="1">
        <v>500000</v>
      </c>
      <c r="D446" s="10" t="s">
        <v>1112</v>
      </c>
      <c r="E446" s="248"/>
      <c r="F446" s="261"/>
      <c r="G446" s="261"/>
      <c r="BM446" s="1">
        <v>500000</v>
      </c>
    </row>
    <row r="447" spans="1:173" x14ac:dyDescent="0.25">
      <c r="A447" s="195" t="s">
        <v>891</v>
      </c>
      <c r="B447" s="18" t="s">
        <v>893</v>
      </c>
      <c r="C447" s="1">
        <v>-104000</v>
      </c>
      <c r="D447" s="220" t="s">
        <v>1113</v>
      </c>
      <c r="AU447" s="1">
        <v>104000</v>
      </c>
    </row>
    <row r="448" spans="1:173" x14ac:dyDescent="0.25">
      <c r="A448" s="195" t="s">
        <v>891</v>
      </c>
      <c r="B448" s="18" t="s">
        <v>894</v>
      </c>
      <c r="C448" s="1">
        <v>-20000</v>
      </c>
      <c r="D448" s="220" t="s">
        <v>1114</v>
      </c>
      <c r="AB448" s="1">
        <v>20000</v>
      </c>
    </row>
    <row r="449" spans="1:186" x14ac:dyDescent="0.25">
      <c r="A449" s="195" t="s">
        <v>891</v>
      </c>
      <c r="B449" s="18" t="s">
        <v>897</v>
      </c>
      <c r="C449" s="1">
        <v>-45</v>
      </c>
      <c r="D449" s="220" t="s">
        <v>1115</v>
      </c>
      <c r="EK449" s="1">
        <v>45</v>
      </c>
    </row>
    <row r="450" spans="1:186" x14ac:dyDescent="0.25">
      <c r="A450" s="196" t="s">
        <v>891</v>
      </c>
      <c r="B450" s="58" t="s">
        <v>942</v>
      </c>
      <c r="D450" s="220" t="s">
        <v>1116</v>
      </c>
      <c r="BD450" s="1">
        <f>152500+345000</f>
        <v>497500</v>
      </c>
      <c r="GD450" s="1">
        <v>497500</v>
      </c>
    </row>
    <row r="451" spans="1:186" s="58" customFormat="1" x14ac:dyDescent="0.25">
      <c r="A451" s="196" t="s">
        <v>900</v>
      </c>
      <c r="B451" s="84" t="s">
        <v>1276</v>
      </c>
      <c r="D451" s="221"/>
      <c r="E451" s="249"/>
      <c r="F451" s="262"/>
      <c r="G451" s="262"/>
      <c r="AL451" s="58">
        <v>-25000</v>
      </c>
      <c r="DS451" s="56"/>
      <c r="DT451" s="56"/>
      <c r="DU451" s="56"/>
    </row>
    <row r="452" spans="1:186" s="58" customFormat="1" x14ac:dyDescent="0.25">
      <c r="A452" s="196"/>
      <c r="B452" s="84" t="s">
        <v>1277</v>
      </c>
      <c r="D452" s="221"/>
      <c r="E452" s="249"/>
      <c r="F452" s="262"/>
      <c r="G452" s="262"/>
      <c r="BH452" s="58">
        <v>25000</v>
      </c>
      <c r="DS452" s="56"/>
      <c r="DT452" s="56"/>
      <c r="DU452" s="56"/>
    </row>
    <row r="453" spans="1:186" s="58" customFormat="1" x14ac:dyDescent="0.25">
      <c r="A453" s="196" t="s">
        <v>900</v>
      </c>
      <c r="B453" s="84" t="s">
        <v>1299</v>
      </c>
      <c r="C453" s="58">
        <v>2470</v>
      </c>
      <c r="D453" s="221" t="s">
        <v>1117</v>
      </c>
      <c r="E453" s="249"/>
      <c r="F453" s="262"/>
      <c r="G453" s="262"/>
      <c r="BH453" s="58">
        <v>-145000</v>
      </c>
      <c r="DS453" s="56"/>
      <c r="DT453" s="56"/>
      <c r="DU453" s="56"/>
    </row>
    <row r="454" spans="1:186" x14ac:dyDescent="0.25">
      <c r="B454" s="18" t="s">
        <v>1278</v>
      </c>
      <c r="EK454" s="1">
        <f>2729+500</f>
        <v>3229</v>
      </c>
    </row>
    <row r="455" spans="1:186" x14ac:dyDescent="0.25">
      <c r="B455" s="18" t="s">
        <v>1290</v>
      </c>
      <c r="AN455" s="1">
        <v>75000</v>
      </c>
    </row>
    <row r="456" spans="1:186" x14ac:dyDescent="0.25">
      <c r="B456" s="18" t="s">
        <v>1279</v>
      </c>
      <c r="DK456" s="1">
        <v>20000</v>
      </c>
    </row>
    <row r="457" spans="1:186" x14ac:dyDescent="0.25">
      <c r="B457" s="18" t="s">
        <v>1280</v>
      </c>
      <c r="FR457" s="1">
        <v>500</v>
      </c>
    </row>
    <row r="458" spans="1:186" x14ac:dyDescent="0.25">
      <c r="B458" s="18" t="s">
        <v>1281</v>
      </c>
      <c r="ER458" s="1">
        <v>20</v>
      </c>
    </row>
    <row r="459" spans="1:186" x14ac:dyDescent="0.25">
      <c r="B459" s="18" t="s">
        <v>1282</v>
      </c>
      <c r="EH459" s="1">
        <v>400</v>
      </c>
    </row>
    <row r="460" spans="1:186" x14ac:dyDescent="0.25">
      <c r="B460" s="18" t="s">
        <v>1283</v>
      </c>
      <c r="EL460" s="1">
        <v>1516</v>
      </c>
    </row>
    <row r="461" spans="1:186" x14ac:dyDescent="0.25">
      <c r="B461" s="18" t="s">
        <v>1284</v>
      </c>
      <c r="ES461" s="1">
        <v>1300</v>
      </c>
    </row>
    <row r="462" spans="1:186" x14ac:dyDescent="0.25">
      <c r="B462" s="18" t="s">
        <v>1286</v>
      </c>
      <c r="EC462" s="1">
        <v>5705</v>
      </c>
      <c r="ED462" s="1">
        <v>1530</v>
      </c>
    </row>
    <row r="463" spans="1:186" x14ac:dyDescent="0.25">
      <c r="B463" s="18" t="s">
        <v>1285</v>
      </c>
      <c r="FL463" s="1">
        <v>294</v>
      </c>
    </row>
    <row r="464" spans="1:186" x14ac:dyDescent="0.25">
      <c r="B464" s="18" t="s">
        <v>1287</v>
      </c>
      <c r="FC464" s="1">
        <v>26390</v>
      </c>
    </row>
    <row r="465" spans="1:182" ht="30" x14ac:dyDescent="0.25">
      <c r="B465" s="138" t="s">
        <v>1288</v>
      </c>
      <c r="FE465" s="1">
        <v>6646</v>
      </c>
    </row>
    <row r="466" spans="1:182" x14ac:dyDescent="0.25">
      <c r="A466" s="195" t="s">
        <v>903</v>
      </c>
      <c r="B466" s="18" t="s">
        <v>909</v>
      </c>
      <c r="C466" s="1">
        <v>-65000</v>
      </c>
      <c r="D466" s="220" t="s">
        <v>1118</v>
      </c>
      <c r="AU466" s="1">
        <v>65000</v>
      </c>
    </row>
    <row r="467" spans="1:182" x14ac:dyDescent="0.25">
      <c r="A467" s="195" t="s">
        <v>903</v>
      </c>
      <c r="B467" s="18" t="s">
        <v>1254</v>
      </c>
      <c r="C467" s="1">
        <v>-50000</v>
      </c>
      <c r="D467" s="220" t="s">
        <v>1119</v>
      </c>
      <c r="AB467" s="1">
        <v>50000</v>
      </c>
    </row>
    <row r="468" spans="1:182" x14ac:dyDescent="0.25">
      <c r="A468" s="195" t="s">
        <v>903</v>
      </c>
      <c r="B468" s="18" t="s">
        <v>897</v>
      </c>
      <c r="C468" s="1">
        <v>-30</v>
      </c>
      <c r="D468" s="220" t="s">
        <v>1120</v>
      </c>
      <c r="EK468" s="1">
        <v>30</v>
      </c>
    </row>
    <row r="469" spans="1:182" x14ac:dyDescent="0.25">
      <c r="A469" s="195" t="s">
        <v>903</v>
      </c>
      <c r="B469" s="18" t="s">
        <v>905</v>
      </c>
      <c r="C469" s="1">
        <v>-3250</v>
      </c>
      <c r="D469" s="220" t="s">
        <v>1121</v>
      </c>
      <c r="CO469" s="1">
        <v>3250</v>
      </c>
    </row>
    <row r="470" spans="1:182" x14ac:dyDescent="0.25">
      <c r="A470" s="195" t="s">
        <v>906</v>
      </c>
      <c r="B470" s="18" t="s">
        <v>1255</v>
      </c>
      <c r="C470" s="1">
        <v>-50000</v>
      </c>
      <c r="D470" s="220" t="s">
        <v>1122</v>
      </c>
      <c r="AB470" s="1">
        <v>50000</v>
      </c>
    </row>
    <row r="471" spans="1:182" x14ac:dyDescent="0.25">
      <c r="A471" s="195" t="s">
        <v>906</v>
      </c>
      <c r="B471" s="18" t="s">
        <v>907</v>
      </c>
      <c r="C471" s="1">
        <v>-57</v>
      </c>
      <c r="D471" s="220" t="s">
        <v>1123</v>
      </c>
      <c r="EP471" s="1">
        <v>57</v>
      </c>
    </row>
    <row r="472" spans="1:182" x14ac:dyDescent="0.25">
      <c r="B472" s="84" t="s">
        <v>1585</v>
      </c>
      <c r="AD472" s="1">
        <v>-75000</v>
      </c>
    </row>
    <row r="473" spans="1:182" x14ac:dyDescent="0.25">
      <c r="B473" s="41" t="s">
        <v>1675</v>
      </c>
      <c r="EK473" s="1">
        <f>70+30+120+120+375+100+100+10+10+815+300</f>
        <v>2050</v>
      </c>
    </row>
    <row r="474" spans="1:182" x14ac:dyDescent="0.25">
      <c r="B474" s="18" t="s">
        <v>1586</v>
      </c>
      <c r="FZ474" s="1">
        <v>150</v>
      </c>
    </row>
    <row r="475" spans="1:182" x14ac:dyDescent="0.25">
      <c r="B475" s="18" t="s">
        <v>1594</v>
      </c>
      <c r="FE475" s="1">
        <f>1150+340+290+260+5500+2000+500</f>
        <v>10040</v>
      </c>
    </row>
    <row r="476" spans="1:182" x14ac:dyDescent="0.25">
      <c r="B476" s="18" t="s">
        <v>1595</v>
      </c>
      <c r="ES476" s="1">
        <f>8600+3500+1000</f>
        <v>13100</v>
      </c>
    </row>
    <row r="477" spans="1:182" x14ac:dyDescent="0.25">
      <c r="B477" s="18" t="s">
        <v>1596</v>
      </c>
      <c r="ER477" s="1">
        <f>26000+1350</f>
        <v>27350</v>
      </c>
    </row>
    <row r="478" spans="1:182" x14ac:dyDescent="0.25">
      <c r="B478" s="18" t="s">
        <v>1597</v>
      </c>
      <c r="FL478" s="1">
        <f>315+50+300+310+216+50+250</f>
        <v>1491</v>
      </c>
    </row>
    <row r="479" spans="1:182" x14ac:dyDescent="0.25">
      <c r="B479" s="18" t="s">
        <v>1598</v>
      </c>
      <c r="FC479" s="1">
        <f>1680+1000+180+1600+250+7090+170+1040+1200+500+2350+200+1850+40+530</f>
        <v>19680</v>
      </c>
    </row>
    <row r="480" spans="1:182" x14ac:dyDescent="0.25">
      <c r="B480" s="18" t="s">
        <v>1599</v>
      </c>
      <c r="EL480" s="1">
        <f>350+100+50</f>
        <v>500</v>
      </c>
    </row>
    <row r="481" spans="1:199" x14ac:dyDescent="0.25">
      <c r="B481" s="18" t="s">
        <v>1600</v>
      </c>
      <c r="EY481" s="1">
        <v>45</v>
      </c>
    </row>
    <row r="482" spans="1:199" x14ac:dyDescent="0.25">
      <c r="B482" s="18" t="s">
        <v>1674</v>
      </c>
      <c r="AB482" s="1">
        <v>594</v>
      </c>
    </row>
    <row r="485" spans="1:199" x14ac:dyDescent="0.25">
      <c r="B485" s="85" t="s">
        <v>904</v>
      </c>
      <c r="C485" s="24">
        <f>SUM(C366:C484)</f>
        <v>195133</v>
      </c>
      <c r="D485" s="240">
        <f t="shared" ref="D485:BS485" si="21">SUM(D366:D484)</f>
        <v>0</v>
      </c>
      <c r="H485" s="240">
        <f t="shared" si="21"/>
        <v>0</v>
      </c>
      <c r="I485" s="240">
        <f t="shared" si="21"/>
        <v>0</v>
      </c>
      <c r="J485" s="240">
        <f t="shared" si="21"/>
        <v>0</v>
      </c>
      <c r="K485" s="240">
        <f t="shared" si="21"/>
        <v>0</v>
      </c>
      <c r="L485" s="240">
        <f t="shared" si="21"/>
        <v>0</v>
      </c>
      <c r="M485" s="240">
        <f t="shared" si="21"/>
        <v>0</v>
      </c>
      <c r="N485" s="240">
        <f t="shared" si="21"/>
        <v>0</v>
      </c>
      <c r="O485" s="240">
        <f t="shared" si="21"/>
        <v>0</v>
      </c>
      <c r="P485" s="240">
        <f t="shared" si="21"/>
        <v>0</v>
      </c>
      <c r="Q485" s="240">
        <f t="shared" si="21"/>
        <v>0</v>
      </c>
      <c r="R485" s="240">
        <f t="shared" si="21"/>
        <v>0</v>
      </c>
      <c r="S485" s="240">
        <f t="shared" si="21"/>
        <v>0</v>
      </c>
      <c r="T485" s="240">
        <f t="shared" si="21"/>
        <v>4000</v>
      </c>
      <c r="U485" s="240">
        <f t="shared" si="21"/>
        <v>0</v>
      </c>
      <c r="V485" s="240">
        <f t="shared" si="21"/>
        <v>12000</v>
      </c>
      <c r="W485" s="240">
        <f t="shared" si="21"/>
        <v>0</v>
      </c>
      <c r="X485" s="240"/>
      <c r="Y485" s="240">
        <f t="shared" si="21"/>
        <v>0</v>
      </c>
      <c r="Z485" s="240">
        <f t="shared" si="21"/>
        <v>0</v>
      </c>
      <c r="AA485" s="240">
        <f t="shared" si="21"/>
        <v>0</v>
      </c>
      <c r="AB485" s="240">
        <f t="shared" si="21"/>
        <v>360594</v>
      </c>
      <c r="AC485" s="240">
        <f t="shared" si="21"/>
        <v>0</v>
      </c>
      <c r="AD485" s="240">
        <f t="shared" si="21"/>
        <v>0</v>
      </c>
      <c r="AE485" s="240">
        <f t="shared" si="21"/>
        <v>0</v>
      </c>
      <c r="AF485" s="240">
        <f t="shared" si="21"/>
        <v>0</v>
      </c>
      <c r="AG485" s="240">
        <f t="shared" si="21"/>
        <v>200000</v>
      </c>
      <c r="AH485" s="240">
        <f t="shared" si="21"/>
        <v>240000</v>
      </c>
      <c r="AI485" s="240">
        <f t="shared" si="21"/>
        <v>18230</v>
      </c>
      <c r="AJ485" s="240">
        <f t="shared" si="21"/>
        <v>2000</v>
      </c>
      <c r="AK485" s="240">
        <f t="shared" si="21"/>
        <v>29000</v>
      </c>
      <c r="AL485" s="240">
        <f t="shared" si="21"/>
        <v>910500</v>
      </c>
      <c r="AM485" s="240">
        <f t="shared" si="21"/>
        <v>40000</v>
      </c>
      <c r="AN485" s="240">
        <f t="shared" si="21"/>
        <v>342000</v>
      </c>
      <c r="AO485" s="240">
        <f t="shared" si="21"/>
        <v>0</v>
      </c>
      <c r="AP485" s="240">
        <f t="shared" si="21"/>
        <v>0</v>
      </c>
      <c r="AQ485" s="240">
        <f t="shared" si="21"/>
        <v>792000</v>
      </c>
      <c r="AR485" s="240">
        <f t="shared" si="21"/>
        <v>0</v>
      </c>
      <c r="AS485" s="240">
        <f t="shared" si="21"/>
        <v>0</v>
      </c>
      <c r="AT485" s="240">
        <f t="shared" si="21"/>
        <v>0</v>
      </c>
      <c r="AU485" s="240">
        <f t="shared" si="21"/>
        <v>169000</v>
      </c>
      <c r="AV485" s="240">
        <f t="shared" si="21"/>
        <v>0</v>
      </c>
      <c r="AW485" s="240">
        <f t="shared" si="21"/>
        <v>0</v>
      </c>
      <c r="AX485" s="240">
        <f t="shared" si="21"/>
        <v>0</v>
      </c>
      <c r="AY485" s="240">
        <f t="shared" si="21"/>
        <v>185000</v>
      </c>
      <c r="AZ485" s="240">
        <f t="shared" si="21"/>
        <v>0</v>
      </c>
      <c r="BA485" s="240">
        <f t="shared" si="21"/>
        <v>120000</v>
      </c>
      <c r="BB485" s="240">
        <f t="shared" si="21"/>
        <v>53500</v>
      </c>
      <c r="BC485" s="240">
        <f t="shared" si="21"/>
        <v>0</v>
      </c>
      <c r="BD485" s="240">
        <f t="shared" si="21"/>
        <v>997500</v>
      </c>
      <c r="BE485" s="240">
        <f t="shared" si="21"/>
        <v>22000</v>
      </c>
      <c r="BF485" s="240">
        <f t="shared" si="21"/>
        <v>127592</v>
      </c>
      <c r="BG485" s="240">
        <f t="shared" si="21"/>
        <v>230000</v>
      </c>
      <c r="BH485" s="240">
        <f t="shared" si="21"/>
        <v>0</v>
      </c>
      <c r="BI485" s="240">
        <f t="shared" si="21"/>
        <v>0</v>
      </c>
      <c r="BJ485" s="240">
        <f t="shared" si="21"/>
        <v>0</v>
      </c>
      <c r="BK485" s="240">
        <f t="shared" si="21"/>
        <v>1400000</v>
      </c>
      <c r="BL485" s="240">
        <f t="shared" si="21"/>
        <v>500000</v>
      </c>
      <c r="BM485" s="240">
        <f t="shared" si="21"/>
        <v>500000</v>
      </c>
      <c r="BN485" s="240">
        <f t="shared" si="21"/>
        <v>0</v>
      </c>
      <c r="BO485" s="240">
        <f t="shared" si="21"/>
        <v>0</v>
      </c>
      <c r="BP485" s="240">
        <f t="shared" si="21"/>
        <v>0</v>
      </c>
      <c r="BQ485" s="240">
        <f t="shared" si="21"/>
        <v>0</v>
      </c>
      <c r="BR485" s="240">
        <f t="shared" si="21"/>
        <v>0</v>
      </c>
      <c r="BS485" s="240">
        <f t="shared" si="21"/>
        <v>0</v>
      </c>
      <c r="BT485" s="240">
        <f t="shared" ref="BT485:EJ485" si="22">SUM(BT366:BT484)</f>
        <v>0</v>
      </c>
      <c r="BU485" s="240">
        <f t="shared" si="22"/>
        <v>0</v>
      </c>
      <c r="BV485" s="240">
        <f t="shared" si="22"/>
        <v>0</v>
      </c>
      <c r="BW485" s="240">
        <f t="shared" si="22"/>
        <v>0</v>
      </c>
      <c r="BX485" s="240">
        <f t="shared" si="22"/>
        <v>0</v>
      </c>
      <c r="BY485" s="240">
        <f t="shared" si="22"/>
        <v>0</v>
      </c>
      <c r="BZ485" s="240">
        <f t="shared" si="22"/>
        <v>0</v>
      </c>
      <c r="CA485" s="240">
        <f t="shared" si="22"/>
        <v>0</v>
      </c>
      <c r="CB485" s="240">
        <f t="shared" si="22"/>
        <v>0</v>
      </c>
      <c r="CC485" s="240">
        <f t="shared" si="22"/>
        <v>0</v>
      </c>
      <c r="CD485" s="240">
        <f t="shared" si="22"/>
        <v>0</v>
      </c>
      <c r="CE485" s="240">
        <f t="shared" si="22"/>
        <v>0</v>
      </c>
      <c r="CF485" s="240">
        <f t="shared" si="22"/>
        <v>0</v>
      </c>
      <c r="CG485" s="240">
        <f t="shared" si="22"/>
        <v>0</v>
      </c>
      <c r="CH485" s="240">
        <f t="shared" si="22"/>
        <v>0</v>
      </c>
      <c r="CI485" s="240">
        <f t="shared" si="22"/>
        <v>0</v>
      </c>
      <c r="CJ485" s="240">
        <f t="shared" si="22"/>
        <v>0</v>
      </c>
      <c r="CK485" s="240">
        <f t="shared" si="22"/>
        <v>0</v>
      </c>
      <c r="CL485" s="240">
        <f t="shared" si="22"/>
        <v>0</v>
      </c>
      <c r="CM485" s="240">
        <f t="shared" si="22"/>
        <v>0</v>
      </c>
      <c r="CN485" s="240">
        <f t="shared" si="22"/>
        <v>0</v>
      </c>
      <c r="CO485" s="240">
        <f t="shared" si="22"/>
        <v>3265</v>
      </c>
      <c r="CP485" s="338"/>
      <c r="CQ485" s="347"/>
      <c r="CR485" s="240">
        <f t="shared" si="22"/>
        <v>0</v>
      </c>
      <c r="CS485" s="240">
        <f t="shared" si="22"/>
        <v>4000</v>
      </c>
      <c r="CT485" s="240">
        <f t="shared" si="22"/>
        <v>0</v>
      </c>
      <c r="CU485" s="359"/>
      <c r="CV485" s="240">
        <f t="shared" si="22"/>
        <v>0</v>
      </c>
      <c r="CW485" s="240">
        <f t="shared" si="22"/>
        <v>0</v>
      </c>
      <c r="CX485" s="240">
        <f t="shared" si="22"/>
        <v>0</v>
      </c>
      <c r="CY485" s="240">
        <f t="shared" si="22"/>
        <v>0</v>
      </c>
      <c r="CZ485" s="240">
        <f t="shared" si="22"/>
        <v>0</v>
      </c>
      <c r="DA485" s="240">
        <f t="shared" si="22"/>
        <v>32000</v>
      </c>
      <c r="DB485" s="240">
        <f t="shared" si="22"/>
        <v>0</v>
      </c>
      <c r="DC485" s="240">
        <f t="shared" si="22"/>
        <v>376734</v>
      </c>
      <c r="DD485" s="240">
        <f t="shared" si="22"/>
        <v>0</v>
      </c>
      <c r="DE485" s="240">
        <f t="shared" si="22"/>
        <v>0</v>
      </c>
      <c r="DF485" s="240">
        <f t="shared" si="22"/>
        <v>104</v>
      </c>
      <c r="DG485" s="240">
        <f t="shared" si="22"/>
        <v>0</v>
      </c>
      <c r="DH485" s="354"/>
      <c r="DI485" s="240">
        <f t="shared" si="22"/>
        <v>40000</v>
      </c>
      <c r="DJ485" s="240">
        <f t="shared" si="22"/>
        <v>0</v>
      </c>
      <c r="DK485" s="240">
        <f t="shared" si="22"/>
        <v>199790</v>
      </c>
      <c r="DL485" s="240">
        <f t="shared" si="22"/>
        <v>157680</v>
      </c>
      <c r="DM485" s="240">
        <f t="shared" si="22"/>
        <v>0</v>
      </c>
      <c r="DN485" s="240">
        <f t="shared" si="22"/>
        <v>0</v>
      </c>
      <c r="DO485" s="240">
        <f t="shared" si="22"/>
        <v>155600</v>
      </c>
      <c r="DP485" s="240">
        <f t="shared" si="22"/>
        <v>6400</v>
      </c>
      <c r="DQ485" s="240">
        <f t="shared" si="22"/>
        <v>28000</v>
      </c>
      <c r="DR485" s="240">
        <f t="shared" si="22"/>
        <v>0</v>
      </c>
      <c r="DS485" s="240">
        <f t="shared" si="22"/>
        <v>0</v>
      </c>
      <c r="DT485" s="240">
        <f t="shared" si="22"/>
        <v>0</v>
      </c>
      <c r="DU485" s="240">
        <f t="shared" si="22"/>
        <v>0</v>
      </c>
      <c r="DV485" s="240">
        <f t="shared" si="22"/>
        <v>0</v>
      </c>
      <c r="DW485" s="240">
        <f t="shared" si="22"/>
        <v>0</v>
      </c>
      <c r="DX485" s="240">
        <f t="shared" si="22"/>
        <v>0</v>
      </c>
      <c r="DY485" s="240">
        <f t="shared" si="22"/>
        <v>18000</v>
      </c>
      <c r="DZ485" s="240">
        <f t="shared" si="22"/>
        <v>15820</v>
      </c>
      <c r="EA485" s="240"/>
      <c r="EB485" s="240">
        <f t="shared" si="22"/>
        <v>0</v>
      </c>
      <c r="EC485" s="240">
        <f t="shared" si="22"/>
        <v>5705</v>
      </c>
      <c r="ED485" s="240">
        <f t="shared" si="22"/>
        <v>3330</v>
      </c>
      <c r="EE485" s="240">
        <f t="shared" si="22"/>
        <v>4000</v>
      </c>
      <c r="EF485" s="240">
        <f t="shared" si="22"/>
        <v>0</v>
      </c>
      <c r="EG485" s="240">
        <f t="shared" si="22"/>
        <v>1155</v>
      </c>
      <c r="EH485" s="240">
        <f t="shared" si="22"/>
        <v>400</v>
      </c>
      <c r="EI485" s="240">
        <f t="shared" si="22"/>
        <v>0</v>
      </c>
      <c r="EJ485" s="240">
        <f t="shared" si="22"/>
        <v>13500</v>
      </c>
      <c r="EK485" s="240">
        <f t="shared" ref="EK485:GD485" si="23">SUM(EK366:EK484)</f>
        <v>14735</v>
      </c>
      <c r="EL485" s="240">
        <f t="shared" si="23"/>
        <v>12205</v>
      </c>
      <c r="EM485" s="240">
        <f t="shared" si="23"/>
        <v>200</v>
      </c>
      <c r="EN485" s="240">
        <f t="shared" si="23"/>
        <v>0</v>
      </c>
      <c r="EO485" s="240">
        <f t="shared" si="23"/>
        <v>0</v>
      </c>
      <c r="EP485" s="240">
        <f t="shared" si="23"/>
        <v>115</v>
      </c>
      <c r="EQ485" s="240">
        <f t="shared" si="23"/>
        <v>2500</v>
      </c>
      <c r="ER485" s="240">
        <f t="shared" si="23"/>
        <v>61270</v>
      </c>
      <c r="ES485" s="240">
        <f t="shared" si="23"/>
        <v>36350</v>
      </c>
      <c r="ET485" s="240">
        <f t="shared" si="23"/>
        <v>1300</v>
      </c>
      <c r="EU485" s="240">
        <f t="shared" si="23"/>
        <v>0</v>
      </c>
      <c r="EV485" s="240">
        <f t="shared" si="23"/>
        <v>0</v>
      </c>
      <c r="EW485" s="240">
        <f t="shared" si="23"/>
        <v>0</v>
      </c>
      <c r="EX485" s="240">
        <f t="shared" si="23"/>
        <v>0</v>
      </c>
      <c r="EY485" s="240">
        <f t="shared" si="23"/>
        <v>1330</v>
      </c>
      <c r="EZ485" s="240">
        <f t="shared" si="23"/>
        <v>0</v>
      </c>
      <c r="FA485" s="240">
        <f t="shared" si="23"/>
        <v>22000</v>
      </c>
      <c r="FB485" s="240">
        <f t="shared" si="23"/>
        <v>0</v>
      </c>
      <c r="FC485" s="240">
        <f t="shared" si="23"/>
        <v>137882</v>
      </c>
      <c r="FD485" s="240">
        <f t="shared" si="23"/>
        <v>0</v>
      </c>
      <c r="FE485" s="240">
        <f t="shared" si="23"/>
        <v>24924</v>
      </c>
      <c r="FF485" s="240">
        <f t="shared" si="23"/>
        <v>0</v>
      </c>
      <c r="FG485" s="240">
        <f t="shared" si="23"/>
        <v>0</v>
      </c>
      <c r="FH485" s="240">
        <f t="shared" si="23"/>
        <v>0</v>
      </c>
      <c r="FI485" s="240">
        <f t="shared" si="23"/>
        <v>0</v>
      </c>
      <c r="FJ485" s="240">
        <f t="shared" si="23"/>
        <v>0</v>
      </c>
      <c r="FK485" s="240">
        <f t="shared" si="23"/>
        <v>0</v>
      </c>
      <c r="FL485" s="240">
        <f t="shared" si="23"/>
        <v>5305</v>
      </c>
      <c r="FM485" s="240">
        <f t="shared" si="23"/>
        <v>20760</v>
      </c>
      <c r="FN485" s="240">
        <f t="shared" si="23"/>
        <v>0</v>
      </c>
      <c r="FO485" s="240">
        <f t="shared" si="23"/>
        <v>0</v>
      </c>
      <c r="FP485" s="240">
        <f t="shared" si="23"/>
        <v>0</v>
      </c>
      <c r="FQ485" s="240">
        <f t="shared" si="23"/>
        <v>47360</v>
      </c>
      <c r="FR485" s="240">
        <f t="shared" si="23"/>
        <v>500</v>
      </c>
      <c r="FS485" s="240">
        <f t="shared" si="23"/>
        <v>0</v>
      </c>
      <c r="FT485" s="240">
        <f t="shared" si="23"/>
        <v>50000</v>
      </c>
      <c r="FU485" s="240">
        <f t="shared" si="23"/>
        <v>0</v>
      </c>
      <c r="FV485" s="240">
        <f t="shared" si="23"/>
        <v>0</v>
      </c>
      <c r="FW485" s="240">
        <f t="shared" si="23"/>
        <v>0</v>
      </c>
      <c r="FX485" s="240">
        <f t="shared" si="23"/>
        <v>0</v>
      </c>
      <c r="FY485" s="240">
        <f t="shared" si="23"/>
        <v>0</v>
      </c>
      <c r="FZ485" s="240">
        <f t="shared" si="23"/>
        <v>150</v>
      </c>
      <c r="GA485" s="240">
        <f t="shared" si="23"/>
        <v>0</v>
      </c>
      <c r="GB485" s="240">
        <f t="shared" si="23"/>
        <v>0</v>
      </c>
      <c r="GC485" s="240">
        <f t="shared" si="23"/>
        <v>0</v>
      </c>
      <c r="GD485" s="240">
        <f t="shared" si="23"/>
        <v>3197500</v>
      </c>
      <c r="GE485" s="277"/>
    </row>
    <row r="486" spans="1:199" x14ac:dyDescent="0.25"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</row>
    <row r="487" spans="1:199" x14ac:dyDescent="0.25"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378" t="s">
        <v>205</v>
      </c>
      <c r="T487" s="378"/>
      <c r="U487" s="378"/>
      <c r="V487" s="378"/>
      <c r="W487" s="378"/>
      <c r="X487" s="378"/>
      <c r="Y487" s="378"/>
      <c r="Z487" s="378" t="s">
        <v>90</v>
      </c>
      <c r="AA487" s="378"/>
      <c r="AB487" s="378"/>
      <c r="AC487" s="378"/>
      <c r="AD487" s="378"/>
      <c r="AE487" s="378"/>
      <c r="AF487" s="378"/>
      <c r="AG487" s="378"/>
      <c r="AH487" s="378"/>
      <c r="AI487" s="378"/>
      <c r="AJ487" s="378"/>
      <c r="AK487" s="378"/>
      <c r="AL487" s="378"/>
      <c r="AM487" s="378"/>
      <c r="AN487" s="378"/>
      <c r="AO487" s="378"/>
      <c r="AP487" s="378"/>
      <c r="AQ487" s="378"/>
      <c r="AR487" s="378"/>
      <c r="AS487" s="378"/>
      <c r="AT487" s="378"/>
      <c r="AU487" s="378"/>
      <c r="AV487" s="378"/>
      <c r="AW487" s="378"/>
      <c r="AX487" s="378"/>
      <c r="AY487" s="378"/>
      <c r="AZ487" s="378"/>
      <c r="BA487" s="378"/>
      <c r="BB487" s="378"/>
      <c r="BC487" s="378"/>
      <c r="BD487" s="378"/>
      <c r="BE487" s="378"/>
      <c r="BF487" s="378"/>
      <c r="BG487" s="378"/>
      <c r="BH487" s="378"/>
      <c r="BI487" s="378" t="s">
        <v>77</v>
      </c>
      <c r="BJ487" s="378"/>
      <c r="BK487" s="378"/>
      <c r="BL487" s="378"/>
      <c r="BM487" s="378"/>
      <c r="BN487" s="378" t="s">
        <v>65</v>
      </c>
      <c r="BO487" s="378"/>
      <c r="BP487" s="378"/>
      <c r="BQ487" s="378" t="s">
        <v>15</v>
      </c>
      <c r="BR487" s="378"/>
      <c r="BS487" s="378"/>
      <c r="BT487" s="378"/>
      <c r="BU487" s="378"/>
      <c r="BV487" s="378"/>
      <c r="BW487" s="378"/>
      <c r="BX487" s="378"/>
      <c r="BY487" s="378"/>
      <c r="BZ487" s="378"/>
      <c r="CA487" s="378"/>
      <c r="CB487" s="378"/>
      <c r="CC487" s="378"/>
      <c r="CD487" s="378"/>
      <c r="CE487" s="378" t="s">
        <v>4</v>
      </c>
      <c r="CF487" s="378"/>
      <c r="CG487" s="378"/>
      <c r="CH487" s="378"/>
      <c r="CI487" s="378"/>
      <c r="CJ487" s="378"/>
      <c r="CK487" s="378"/>
      <c r="CL487" s="378"/>
      <c r="CM487" s="378"/>
      <c r="CN487" s="378"/>
      <c r="CO487" s="378" t="s">
        <v>21</v>
      </c>
      <c r="CP487" s="378"/>
      <c r="CQ487" s="378"/>
      <c r="CR487" s="378"/>
      <c r="CS487" s="378"/>
      <c r="CT487" s="378"/>
      <c r="CU487" s="378"/>
      <c r="CV487" s="378"/>
      <c r="CW487" s="378"/>
      <c r="CX487" s="378"/>
      <c r="CY487" s="378"/>
      <c r="CZ487" s="378"/>
      <c r="DA487" s="378"/>
      <c r="DB487" s="378"/>
      <c r="DC487" s="378"/>
      <c r="DD487" s="378"/>
      <c r="DE487" s="378"/>
      <c r="DF487" s="378"/>
      <c r="DG487" s="378"/>
      <c r="DH487" s="378"/>
      <c r="DI487" s="378"/>
      <c r="DK487" s="122"/>
      <c r="DL487" s="122"/>
      <c r="DM487" s="142"/>
      <c r="DN487" s="145"/>
      <c r="DO487" s="122"/>
      <c r="DP487" s="374" t="s">
        <v>317</v>
      </c>
      <c r="DQ487" s="374"/>
      <c r="DR487" s="374"/>
      <c r="DS487" s="374"/>
      <c r="DT487" s="374"/>
      <c r="DU487" s="374"/>
      <c r="DV487" s="374"/>
      <c r="DW487" s="374"/>
      <c r="DX487" s="374"/>
      <c r="DY487" s="374"/>
      <c r="DZ487" s="374"/>
      <c r="EA487" s="374"/>
      <c r="EB487" s="374"/>
      <c r="EC487" s="374"/>
      <c r="ED487" s="374"/>
      <c r="EE487" s="374"/>
      <c r="EF487" s="374"/>
      <c r="EG487" s="374"/>
      <c r="EH487" s="374"/>
      <c r="EI487" s="374"/>
      <c r="EJ487" s="374"/>
      <c r="EK487" s="374"/>
      <c r="EL487" s="374"/>
      <c r="EM487" s="374"/>
      <c r="EN487" s="374"/>
      <c r="EO487" s="374"/>
      <c r="EP487" s="374"/>
      <c r="EQ487" s="374"/>
      <c r="ER487" s="374"/>
      <c r="ES487" s="374"/>
      <c r="ET487" s="374"/>
      <c r="EU487" s="374"/>
      <c r="EV487" s="374"/>
      <c r="EW487" s="374"/>
      <c r="EX487" s="374"/>
      <c r="EY487" s="374"/>
      <c r="EZ487" s="374"/>
      <c r="FA487" s="374"/>
      <c r="FB487" s="374"/>
      <c r="FC487" s="374"/>
      <c r="FD487" s="374"/>
      <c r="FE487" s="374"/>
      <c r="FF487" s="374"/>
      <c r="FG487" s="374"/>
      <c r="FH487" s="374"/>
      <c r="FI487" s="374"/>
      <c r="FJ487" s="374"/>
      <c r="FK487" s="374"/>
      <c r="FL487" s="374"/>
      <c r="FM487" s="374"/>
      <c r="FN487" s="374"/>
      <c r="FO487" s="374"/>
      <c r="FP487" s="374"/>
      <c r="FQ487" s="374"/>
      <c r="FR487" s="374"/>
      <c r="FS487" s="374"/>
      <c r="FT487" s="374"/>
      <c r="FU487" s="374"/>
      <c r="FV487" s="374"/>
      <c r="FW487" s="374"/>
      <c r="FX487" s="374"/>
      <c r="FY487" s="127"/>
      <c r="FZ487" s="149"/>
      <c r="GA487" s="185"/>
      <c r="GB487" s="185"/>
      <c r="GC487" s="191"/>
      <c r="GD487" s="58"/>
      <c r="GE487" s="58"/>
    </row>
    <row r="488" spans="1:199" s="122" customFormat="1" x14ac:dyDescent="0.25">
      <c r="A488" s="195" t="s">
        <v>0</v>
      </c>
      <c r="B488" s="18" t="s">
        <v>5</v>
      </c>
      <c r="C488" s="122" t="s">
        <v>89</v>
      </c>
      <c r="D488" s="220" t="s">
        <v>95</v>
      </c>
      <c r="E488" s="247"/>
      <c r="F488" s="260"/>
      <c r="G488" s="260"/>
      <c r="H488" s="122" t="s">
        <v>28</v>
      </c>
      <c r="I488" s="214" t="s">
        <v>382</v>
      </c>
      <c r="J488" s="214" t="s">
        <v>2044</v>
      </c>
      <c r="K488" s="214" t="s">
        <v>2045</v>
      </c>
      <c r="L488" s="214" t="s">
        <v>2046</v>
      </c>
      <c r="M488" s="214" t="s">
        <v>1548</v>
      </c>
      <c r="N488" s="214" t="s">
        <v>1658</v>
      </c>
      <c r="O488" s="214" t="s">
        <v>1660</v>
      </c>
      <c r="P488" s="214" t="s">
        <v>1659</v>
      </c>
      <c r="Q488" s="214" t="s">
        <v>705</v>
      </c>
      <c r="R488" s="214" t="s">
        <v>1661</v>
      </c>
      <c r="S488" s="214" t="s">
        <v>93</v>
      </c>
      <c r="T488" s="214" t="s">
        <v>567</v>
      </c>
      <c r="U488" s="214" t="s">
        <v>1368</v>
      </c>
      <c r="V488" s="214" t="s">
        <v>353</v>
      </c>
      <c r="W488" s="214" t="s">
        <v>206</v>
      </c>
      <c r="X488" s="240" t="s">
        <v>2204</v>
      </c>
      <c r="Y488" s="214" t="s">
        <v>207</v>
      </c>
      <c r="Z488" s="122" t="s">
        <v>91</v>
      </c>
      <c r="AA488" s="122" t="s">
        <v>261</v>
      </c>
      <c r="AB488" s="122" t="s">
        <v>606</v>
      </c>
      <c r="AC488" s="128" t="s">
        <v>938</v>
      </c>
      <c r="AD488" s="122" t="s">
        <v>674</v>
      </c>
      <c r="AE488" s="175" t="s">
        <v>1565</v>
      </c>
      <c r="AF488" s="163" t="s">
        <v>1507</v>
      </c>
      <c r="AG488" s="122" t="s">
        <v>531</v>
      </c>
      <c r="AH488" s="122" t="s">
        <v>541</v>
      </c>
      <c r="AI488" s="122" t="s">
        <v>382</v>
      </c>
      <c r="AJ488" s="122" t="s">
        <v>708</v>
      </c>
      <c r="AK488" s="122" t="s">
        <v>553</v>
      </c>
      <c r="AL488" s="122" t="s">
        <v>93</v>
      </c>
      <c r="AM488" s="122" t="s">
        <v>632</v>
      </c>
      <c r="AN488" s="240" t="s">
        <v>2191</v>
      </c>
      <c r="AO488" s="126" t="s">
        <v>931</v>
      </c>
      <c r="AP488" s="175" t="s">
        <v>1566</v>
      </c>
      <c r="AQ488" s="122" t="s">
        <v>635</v>
      </c>
      <c r="AR488" s="156" t="s">
        <v>1425</v>
      </c>
      <c r="AS488" s="167" t="s">
        <v>1530</v>
      </c>
      <c r="AT488" s="192" t="s">
        <v>1732</v>
      </c>
      <c r="AU488" s="122" t="s">
        <v>895</v>
      </c>
      <c r="AV488" s="158" t="s">
        <v>1459</v>
      </c>
      <c r="AW488" s="145" t="s">
        <v>1240</v>
      </c>
      <c r="AX488" s="163" t="s">
        <v>1505</v>
      </c>
      <c r="AY488" s="122" t="s">
        <v>556</v>
      </c>
      <c r="AZ488" s="156" t="s">
        <v>1434</v>
      </c>
      <c r="BA488" s="122" t="s">
        <v>640</v>
      </c>
      <c r="BB488" s="122" t="s">
        <v>552</v>
      </c>
      <c r="BC488" s="122" t="s">
        <v>565</v>
      </c>
      <c r="BD488" s="122" t="s">
        <v>597</v>
      </c>
      <c r="BE488" s="122" t="s">
        <v>488</v>
      </c>
      <c r="BF488" s="122" t="s">
        <v>1247</v>
      </c>
      <c r="BG488" s="122" t="s">
        <v>242</v>
      </c>
      <c r="BH488" s="122" t="s">
        <v>92</v>
      </c>
      <c r="BI488" s="122" t="s">
        <v>80</v>
      </c>
      <c r="BJ488" s="156" t="s">
        <v>1430</v>
      </c>
      <c r="BK488" s="122" t="s">
        <v>256</v>
      </c>
      <c r="BL488" s="122" t="s">
        <v>673</v>
      </c>
      <c r="BM488" s="122" t="s">
        <v>81</v>
      </c>
      <c r="BN488" s="122" t="s">
        <v>80</v>
      </c>
      <c r="BO488" s="156" t="s">
        <v>1430</v>
      </c>
      <c r="BP488" s="122" t="s">
        <v>81</v>
      </c>
      <c r="BQ488" s="122" t="s">
        <v>226</v>
      </c>
      <c r="BR488" s="122" t="s">
        <v>69</v>
      </c>
      <c r="BS488" s="122" t="s">
        <v>84</v>
      </c>
      <c r="BT488" s="122" t="s">
        <v>76</v>
      </c>
      <c r="BU488" s="122" t="s">
        <v>38</v>
      </c>
      <c r="BV488" s="122" t="s">
        <v>271</v>
      </c>
      <c r="BW488" s="122" t="s">
        <v>34</v>
      </c>
      <c r="BX488" s="122" t="s">
        <v>35</v>
      </c>
      <c r="BY488" s="122" t="s">
        <v>6</v>
      </c>
      <c r="BZ488" s="122" t="s">
        <v>82</v>
      </c>
      <c r="CA488" s="122" t="s">
        <v>63</v>
      </c>
      <c r="CB488" s="122" t="s">
        <v>68</v>
      </c>
      <c r="CC488" s="122" t="s">
        <v>221</v>
      </c>
      <c r="CD488" s="122" t="s">
        <v>83</v>
      </c>
      <c r="CE488" s="122" t="s">
        <v>37</v>
      </c>
      <c r="CF488" s="122" t="s">
        <v>74</v>
      </c>
      <c r="CG488" s="122" t="s">
        <v>39</v>
      </c>
      <c r="CH488" s="122" t="s">
        <v>6</v>
      </c>
      <c r="CI488" s="122" t="s">
        <v>38</v>
      </c>
      <c r="CJ488" s="122" t="s">
        <v>78</v>
      </c>
      <c r="CK488" s="122" t="s">
        <v>79</v>
      </c>
      <c r="CL488" s="122" t="s">
        <v>59</v>
      </c>
      <c r="CM488" s="122" t="s">
        <v>36</v>
      </c>
      <c r="CN488" s="122" t="s">
        <v>63</v>
      </c>
      <c r="CO488" s="122" t="s">
        <v>38</v>
      </c>
      <c r="CP488" s="338"/>
      <c r="CQ488" s="347"/>
      <c r="CR488" s="146" t="s">
        <v>6</v>
      </c>
      <c r="CS488" s="122" t="s">
        <v>37</v>
      </c>
      <c r="CT488" s="144" t="s">
        <v>1186</v>
      </c>
      <c r="CU488" s="359"/>
      <c r="CV488" s="144" t="s">
        <v>1189</v>
      </c>
      <c r="CW488" s="122" t="s">
        <v>39</v>
      </c>
      <c r="CX488" s="168" t="s">
        <v>690</v>
      </c>
      <c r="CY488" s="122" t="s">
        <v>19</v>
      </c>
      <c r="CZ488" s="230" t="s">
        <v>2125</v>
      </c>
      <c r="DA488" s="122" t="s">
        <v>68</v>
      </c>
      <c r="DB488" s="122" t="s">
        <v>323</v>
      </c>
      <c r="DC488" s="122" t="s">
        <v>69</v>
      </c>
      <c r="DD488" s="197" t="s">
        <v>1776</v>
      </c>
      <c r="DE488" s="220" t="s">
        <v>2065</v>
      </c>
      <c r="DF488" s="122" t="s">
        <v>377</v>
      </c>
      <c r="DG488" s="163" t="s">
        <v>1514</v>
      </c>
      <c r="DH488" s="354"/>
      <c r="DI488" s="122" t="s">
        <v>62</v>
      </c>
      <c r="DJ488" s="8" t="s">
        <v>392</v>
      </c>
      <c r="DK488" s="240" t="s">
        <v>2190</v>
      </c>
      <c r="DL488" s="122" t="s">
        <v>604</v>
      </c>
      <c r="DM488" s="142" t="s">
        <v>1132</v>
      </c>
      <c r="DN488" s="145" t="s">
        <v>1248</v>
      </c>
      <c r="DO488" s="122" t="s">
        <v>634</v>
      </c>
      <c r="DP488" s="122" t="s">
        <v>306</v>
      </c>
      <c r="DQ488" s="122" t="s">
        <v>896</v>
      </c>
      <c r="DR488" s="66" t="s">
        <v>307</v>
      </c>
      <c r="DS488" s="238" t="s">
        <v>2141</v>
      </c>
      <c r="DT488" s="238" t="s">
        <v>2142</v>
      </c>
      <c r="DU488" s="238" t="s">
        <v>2143</v>
      </c>
      <c r="DV488" s="122" t="s">
        <v>69</v>
      </c>
      <c r="DW488" s="186" t="s">
        <v>1672</v>
      </c>
      <c r="DX488" s="122" t="s">
        <v>84</v>
      </c>
      <c r="DY488" s="122" t="s">
        <v>712</v>
      </c>
      <c r="DZ488" s="122" t="s">
        <v>710</v>
      </c>
      <c r="EA488" s="240" t="s">
        <v>2203</v>
      </c>
      <c r="EB488" s="223" t="s">
        <v>2093</v>
      </c>
      <c r="EC488" s="147" t="s">
        <v>1289</v>
      </c>
      <c r="ED488" s="122" t="s">
        <v>902</v>
      </c>
      <c r="EE488" s="122" t="s">
        <v>888</v>
      </c>
      <c r="EF488" s="122" t="s">
        <v>624</v>
      </c>
      <c r="EG488" s="122" t="s">
        <v>699</v>
      </c>
      <c r="EH488" s="122" t="s">
        <v>37</v>
      </c>
      <c r="EI488" s="223" t="s">
        <v>2089</v>
      </c>
      <c r="EJ488" s="122" t="s">
        <v>76</v>
      </c>
      <c r="EK488" s="122" t="s">
        <v>38</v>
      </c>
      <c r="EL488" s="122" t="s">
        <v>611</v>
      </c>
      <c r="EM488" s="122" t="s">
        <v>612</v>
      </c>
      <c r="EN488" s="122" t="s">
        <v>613</v>
      </c>
      <c r="EO488" s="122" t="s">
        <v>620</v>
      </c>
      <c r="EP488" s="122" t="s">
        <v>377</v>
      </c>
      <c r="EQ488" s="122" t="s">
        <v>271</v>
      </c>
      <c r="ER488" s="122" t="s">
        <v>34</v>
      </c>
      <c r="ES488" s="122" t="s">
        <v>35</v>
      </c>
      <c r="ET488" s="122" t="s">
        <v>713</v>
      </c>
      <c r="EU488" s="122" t="s">
        <v>621</v>
      </c>
      <c r="EV488" s="122" t="s">
        <v>622</v>
      </c>
      <c r="EW488" s="122" t="s">
        <v>623</v>
      </c>
      <c r="EX488" s="214" t="s">
        <v>2047</v>
      </c>
      <c r="EY488" s="122" t="s">
        <v>6</v>
      </c>
      <c r="EZ488" s="122" t="s">
        <v>603</v>
      </c>
      <c r="FA488" s="122" t="s">
        <v>618</v>
      </c>
      <c r="FB488" s="122" t="s">
        <v>1249</v>
      </c>
      <c r="FC488" s="122" t="s">
        <v>82</v>
      </c>
      <c r="FD488" s="122" t="s">
        <v>489</v>
      </c>
      <c r="FE488" s="122" t="s">
        <v>63</v>
      </c>
      <c r="FF488" s="122" t="s">
        <v>68</v>
      </c>
      <c r="FG488" s="122" t="s">
        <v>442</v>
      </c>
      <c r="FH488" s="154" t="s">
        <v>1371</v>
      </c>
      <c r="FI488" s="178" t="s">
        <v>1593</v>
      </c>
      <c r="FJ488" s="122" t="s">
        <v>221</v>
      </c>
      <c r="FK488" s="122" t="s">
        <v>83</v>
      </c>
      <c r="FL488" s="122" t="s">
        <v>19</v>
      </c>
      <c r="FM488" s="122" t="s">
        <v>648</v>
      </c>
      <c r="FN488" s="122" t="s">
        <v>649</v>
      </c>
      <c r="FO488" s="122" t="s">
        <v>650</v>
      </c>
      <c r="FP488" s="122" t="s">
        <v>651</v>
      </c>
      <c r="FQ488" s="122" t="s">
        <v>470</v>
      </c>
      <c r="FR488" s="122" t="s">
        <v>363</v>
      </c>
      <c r="FS488" s="122" t="s">
        <v>489</v>
      </c>
      <c r="FT488" s="122" t="s">
        <v>676</v>
      </c>
      <c r="FU488" s="122" t="s">
        <v>490</v>
      </c>
      <c r="FV488" s="122" t="s">
        <v>596</v>
      </c>
      <c r="FW488" s="122" t="s">
        <v>417</v>
      </c>
      <c r="FX488" s="122" t="s">
        <v>472</v>
      </c>
      <c r="FY488" s="126" t="s">
        <v>933</v>
      </c>
      <c r="FZ488" s="147" t="s">
        <v>1293</v>
      </c>
      <c r="GA488" s="184" t="s">
        <v>1654</v>
      </c>
      <c r="GB488" s="184" t="s">
        <v>1655</v>
      </c>
      <c r="GC488" s="190" t="s">
        <v>1726</v>
      </c>
      <c r="GD488" s="122" t="s">
        <v>566</v>
      </c>
      <c r="GE488" s="277"/>
      <c r="GG488" s="366"/>
      <c r="GH488" s="294"/>
      <c r="GI488" s="277"/>
      <c r="GQ488" s="314"/>
    </row>
    <row r="489" spans="1:199" x14ac:dyDescent="0.25">
      <c r="A489" s="195" t="s">
        <v>908</v>
      </c>
      <c r="B489" s="18" t="s">
        <v>2</v>
      </c>
      <c r="C489" s="24">
        <f>C485</f>
        <v>195133</v>
      </c>
      <c r="Q489" s="1">
        <f>Q485</f>
        <v>0</v>
      </c>
      <c r="S489" s="1">
        <f>S485</f>
        <v>0</v>
      </c>
      <c r="T489" s="1">
        <f>T485</f>
        <v>4000</v>
      </c>
      <c r="V489" s="1">
        <f t="shared" ref="V489:AB489" si="24">V485</f>
        <v>12000</v>
      </c>
      <c r="W489" s="1">
        <f t="shared" si="24"/>
        <v>0</v>
      </c>
      <c r="Y489" s="1">
        <f t="shared" si="24"/>
        <v>0</v>
      </c>
      <c r="Z489" s="14">
        <f t="shared" si="24"/>
        <v>0</v>
      </c>
      <c r="AA489" s="14">
        <f t="shared" si="24"/>
        <v>0</v>
      </c>
      <c r="AB489" s="14">
        <f t="shared" si="24"/>
        <v>360594</v>
      </c>
      <c r="AC489" s="14"/>
      <c r="AD489" s="14">
        <f>AD485</f>
        <v>0</v>
      </c>
      <c r="AE489" s="14"/>
      <c r="AF489" s="14"/>
      <c r="AG489" s="14">
        <f t="shared" ref="AG489:AN489" si="25">AG485</f>
        <v>200000</v>
      </c>
      <c r="AH489" s="14">
        <f t="shared" si="25"/>
        <v>240000</v>
      </c>
      <c r="AI489" s="14">
        <f t="shared" si="25"/>
        <v>18230</v>
      </c>
      <c r="AJ489" s="14">
        <f t="shared" si="25"/>
        <v>2000</v>
      </c>
      <c r="AK489" s="14">
        <f t="shared" si="25"/>
        <v>29000</v>
      </c>
      <c r="AL489" s="14">
        <f t="shared" si="25"/>
        <v>910500</v>
      </c>
      <c r="AM489" s="14">
        <f t="shared" si="25"/>
        <v>40000</v>
      </c>
      <c r="AN489" s="14">
        <f t="shared" si="25"/>
        <v>342000</v>
      </c>
      <c r="AO489" s="14"/>
      <c r="AP489" s="14"/>
      <c r="AQ489" s="14">
        <f>AQ485</f>
        <v>792000</v>
      </c>
      <c r="AR489" s="14"/>
      <c r="AS489" s="14"/>
      <c r="AT489" s="14"/>
      <c r="AU489" s="14">
        <f>AU485</f>
        <v>169000</v>
      </c>
      <c r="AV489" s="14"/>
      <c r="AW489" s="14"/>
      <c r="AX489" s="14"/>
      <c r="AY489" s="14">
        <f>AY485</f>
        <v>185000</v>
      </c>
      <c r="AZ489" s="14"/>
      <c r="BA489" s="14">
        <f t="shared" ref="BA489:BI489" si="26">BA485</f>
        <v>120000</v>
      </c>
      <c r="BB489" s="14">
        <f t="shared" si="26"/>
        <v>53500</v>
      </c>
      <c r="BC489" s="14">
        <f t="shared" si="26"/>
        <v>0</v>
      </c>
      <c r="BD489" s="14">
        <f t="shared" si="26"/>
        <v>997500</v>
      </c>
      <c r="BE489" s="14">
        <f t="shared" si="26"/>
        <v>22000</v>
      </c>
      <c r="BF489" s="14">
        <f t="shared" si="26"/>
        <v>127592</v>
      </c>
      <c r="BG489" s="14">
        <f t="shared" si="26"/>
        <v>230000</v>
      </c>
      <c r="BH489" s="1">
        <f t="shared" si="26"/>
        <v>0</v>
      </c>
      <c r="BI489" s="1">
        <f t="shared" si="26"/>
        <v>0</v>
      </c>
      <c r="BK489" s="1">
        <f>BK485</f>
        <v>1400000</v>
      </c>
      <c r="BL489" s="1">
        <f>BL485</f>
        <v>500000</v>
      </c>
      <c r="BM489" s="1">
        <f>BM485</f>
        <v>500000</v>
      </c>
      <c r="BN489" s="1">
        <f>BN485</f>
        <v>0</v>
      </c>
      <c r="BP489" s="1">
        <f>BP485</f>
        <v>0</v>
      </c>
      <c r="DK489" s="1">
        <f>DK485</f>
        <v>199790</v>
      </c>
      <c r="DL489" s="1">
        <f>DL485</f>
        <v>157680</v>
      </c>
      <c r="DO489" s="1">
        <f>DO485</f>
        <v>155600</v>
      </c>
      <c r="GD489" s="1">
        <f>GD485</f>
        <v>3197500</v>
      </c>
    </row>
    <row r="490" spans="1:199" x14ac:dyDescent="0.25">
      <c r="A490" s="195" t="s">
        <v>908</v>
      </c>
      <c r="B490" s="18" t="s">
        <v>909</v>
      </c>
      <c r="C490" s="24">
        <v>-65000</v>
      </c>
      <c r="D490" s="220" t="s">
        <v>1154</v>
      </c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>
        <v>65000</v>
      </c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</row>
    <row r="491" spans="1:199" x14ac:dyDescent="0.25">
      <c r="A491" s="195" t="s">
        <v>908</v>
      </c>
      <c r="B491" s="18" t="s">
        <v>910</v>
      </c>
      <c r="C491" s="24">
        <v>-30</v>
      </c>
      <c r="D491" s="220" t="s">
        <v>1155</v>
      </c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EK491" s="1">
        <v>30</v>
      </c>
    </row>
    <row r="492" spans="1:199" x14ac:dyDescent="0.25">
      <c r="A492" s="195" t="s">
        <v>908</v>
      </c>
      <c r="B492" s="18" t="s">
        <v>1256</v>
      </c>
      <c r="C492" s="122">
        <v>-20000</v>
      </c>
      <c r="D492" s="220" t="s">
        <v>1156</v>
      </c>
      <c r="Z492" s="14"/>
      <c r="AA492" s="14"/>
      <c r="AB492" s="14">
        <v>20000</v>
      </c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</row>
    <row r="493" spans="1:199" x14ac:dyDescent="0.25">
      <c r="A493" s="195" t="s">
        <v>908</v>
      </c>
      <c r="B493" s="18" t="s">
        <v>914</v>
      </c>
      <c r="C493" s="122">
        <v>-20000</v>
      </c>
      <c r="D493" s="220" t="s">
        <v>1157</v>
      </c>
      <c r="Y493" s="1">
        <v>20000</v>
      </c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</row>
    <row r="494" spans="1:199" s="7" customFormat="1" x14ac:dyDescent="0.25">
      <c r="A494" s="11" t="s">
        <v>908</v>
      </c>
      <c r="B494" s="41" t="s">
        <v>911</v>
      </c>
      <c r="C494" s="11">
        <v>-140</v>
      </c>
      <c r="D494" s="220" t="s">
        <v>1158</v>
      </c>
      <c r="E494" s="247"/>
      <c r="F494" s="260"/>
      <c r="G494" s="260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CY494" s="7">
        <v>140</v>
      </c>
      <c r="DS494" s="14"/>
      <c r="DT494" s="14"/>
      <c r="DU494" s="14"/>
    </row>
    <row r="495" spans="1:199" s="58" customFormat="1" x14ac:dyDescent="0.25">
      <c r="A495" s="196" t="s">
        <v>908</v>
      </c>
      <c r="B495" s="84" t="s">
        <v>912</v>
      </c>
      <c r="C495" s="149">
        <v>-3000</v>
      </c>
      <c r="D495" s="221" t="s">
        <v>1159</v>
      </c>
      <c r="E495" s="249"/>
      <c r="F495" s="262"/>
      <c r="G495" s="262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8">
        <v>3000</v>
      </c>
      <c r="DS495" s="56"/>
      <c r="DT495" s="56"/>
      <c r="DU495" s="56"/>
    </row>
    <row r="496" spans="1:199" x14ac:dyDescent="0.25">
      <c r="A496" s="195" t="s">
        <v>913</v>
      </c>
      <c r="B496" s="18" t="s">
        <v>914</v>
      </c>
      <c r="C496" s="124">
        <v>-10000</v>
      </c>
      <c r="D496" s="220" t="s">
        <v>1160</v>
      </c>
      <c r="Y496" s="1">
        <v>10000</v>
      </c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</row>
    <row r="497" spans="1:172" x14ac:dyDescent="0.25">
      <c r="A497" s="195" t="s">
        <v>913</v>
      </c>
      <c r="B497" s="18" t="s">
        <v>915</v>
      </c>
      <c r="C497" s="124">
        <v>-4000</v>
      </c>
      <c r="D497" s="220" t="s">
        <v>1161</v>
      </c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CS497" s="1">
        <v>4000</v>
      </c>
    </row>
    <row r="498" spans="1:172" x14ac:dyDescent="0.25">
      <c r="A498" s="195" t="s">
        <v>913</v>
      </c>
      <c r="B498" s="18" t="s">
        <v>937</v>
      </c>
      <c r="C498" s="124">
        <v>-20000</v>
      </c>
      <c r="D498" s="220" t="s">
        <v>1162</v>
      </c>
      <c r="Z498" s="14"/>
      <c r="AA498" s="14"/>
      <c r="AC498" s="12">
        <v>20000</v>
      </c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</row>
    <row r="499" spans="1:172" x14ac:dyDescent="0.25">
      <c r="A499" s="195" t="s">
        <v>913</v>
      </c>
      <c r="B499" s="18" t="s">
        <v>907</v>
      </c>
      <c r="C499" s="124">
        <v>-23</v>
      </c>
      <c r="D499" s="220" t="s">
        <v>1163</v>
      </c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EP499" s="1">
        <v>23</v>
      </c>
    </row>
    <row r="500" spans="1:172" x14ac:dyDescent="0.25">
      <c r="A500" s="195" t="s">
        <v>913</v>
      </c>
      <c r="B500" s="18" t="s">
        <v>918</v>
      </c>
      <c r="C500" s="7">
        <v>-25000</v>
      </c>
      <c r="D500" s="220" t="s">
        <v>1164</v>
      </c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DZ500" s="1">
        <v>25000</v>
      </c>
    </row>
    <row r="501" spans="1:172" x14ac:dyDescent="0.25">
      <c r="A501" s="195" t="s">
        <v>913</v>
      </c>
      <c r="B501" s="18" t="s">
        <v>919</v>
      </c>
      <c r="C501" s="7">
        <v>-6020</v>
      </c>
      <c r="D501" s="220" t="s">
        <v>1165</v>
      </c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ES501" s="1">
        <v>6020</v>
      </c>
    </row>
    <row r="502" spans="1:172" x14ac:dyDescent="0.25">
      <c r="A502" s="195" t="s">
        <v>913</v>
      </c>
      <c r="B502" s="18" t="s">
        <v>925</v>
      </c>
      <c r="C502" s="7">
        <v>-850</v>
      </c>
      <c r="D502" s="220" t="s">
        <v>1166</v>
      </c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FC502" s="1">
        <v>850</v>
      </c>
    </row>
    <row r="503" spans="1:172" x14ac:dyDescent="0.25">
      <c r="A503" s="195" t="s">
        <v>913</v>
      </c>
      <c r="B503" s="18" t="s">
        <v>927</v>
      </c>
      <c r="C503" s="7">
        <v>-12000</v>
      </c>
      <c r="D503" s="220" t="s">
        <v>1167</v>
      </c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FP503" s="1">
        <v>12000</v>
      </c>
    </row>
    <row r="504" spans="1:172" x14ac:dyDescent="0.25">
      <c r="A504" s="195" t="s">
        <v>913</v>
      </c>
      <c r="B504" s="18" t="s">
        <v>926</v>
      </c>
      <c r="C504" s="7">
        <v>-300</v>
      </c>
      <c r="D504" s="220" t="s">
        <v>1168</v>
      </c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EM504" s="1">
        <v>300</v>
      </c>
    </row>
    <row r="505" spans="1:172" x14ac:dyDescent="0.25">
      <c r="A505" s="195" t="s">
        <v>913</v>
      </c>
      <c r="B505" s="18" t="s">
        <v>1170</v>
      </c>
      <c r="C505" s="7">
        <v>-15500</v>
      </c>
      <c r="D505" s="220" t="s">
        <v>1169</v>
      </c>
      <c r="Z505" s="14"/>
      <c r="AA505" s="14"/>
      <c r="AB505" s="14"/>
      <c r="AC505" s="14"/>
      <c r="AD505" s="14">
        <v>15500</v>
      </c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</row>
    <row r="506" spans="1:172" x14ac:dyDescent="0.25">
      <c r="A506" s="195" t="s">
        <v>920</v>
      </c>
      <c r="B506" s="18" t="s">
        <v>921</v>
      </c>
      <c r="C506" s="7">
        <v>1300000</v>
      </c>
      <c r="D506" s="220" t="s">
        <v>1171</v>
      </c>
      <c r="H506" s="1">
        <v>1300000</v>
      </c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</row>
    <row r="507" spans="1:172" x14ac:dyDescent="0.25">
      <c r="A507" s="195" t="s">
        <v>920</v>
      </c>
      <c r="B507" s="18" t="s">
        <v>922</v>
      </c>
      <c r="C507" s="7">
        <v>-140000</v>
      </c>
      <c r="D507" s="220" t="s">
        <v>1172</v>
      </c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DI507" s="1">
        <v>140000</v>
      </c>
    </row>
    <row r="508" spans="1:172" x14ac:dyDescent="0.25">
      <c r="A508" s="195" t="s">
        <v>920</v>
      </c>
      <c r="B508" s="18" t="s">
        <v>928</v>
      </c>
      <c r="C508" s="7">
        <v>-150000</v>
      </c>
      <c r="D508" s="220" t="s">
        <v>1173</v>
      </c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DO508" s="1">
        <v>150000</v>
      </c>
    </row>
    <row r="509" spans="1:172" x14ac:dyDescent="0.25">
      <c r="A509" s="195" t="s">
        <v>920</v>
      </c>
      <c r="B509" s="18" t="s">
        <v>929</v>
      </c>
      <c r="C509" s="7">
        <v>-100000</v>
      </c>
      <c r="D509" s="220" t="s">
        <v>1174</v>
      </c>
      <c r="Z509" s="14"/>
      <c r="AA509" s="14"/>
      <c r="AB509" s="14"/>
      <c r="AC509" s="14"/>
      <c r="AD509" s="14"/>
      <c r="AE509" s="14"/>
      <c r="AF509" s="14"/>
      <c r="AG509" s="14"/>
      <c r="AH509" s="14">
        <v>100000</v>
      </c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</row>
    <row r="510" spans="1:172" x14ac:dyDescent="0.25">
      <c r="A510" s="195" t="s">
        <v>920</v>
      </c>
      <c r="B510" s="18" t="s">
        <v>576</v>
      </c>
      <c r="C510" s="7">
        <v>-58</v>
      </c>
      <c r="D510" s="220" t="s">
        <v>1175</v>
      </c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EP510" s="1">
        <v>58</v>
      </c>
    </row>
    <row r="511" spans="1:172" x14ac:dyDescent="0.25">
      <c r="A511" s="195" t="s">
        <v>920</v>
      </c>
      <c r="B511" s="18" t="s">
        <v>909</v>
      </c>
      <c r="C511" s="7">
        <v>-65000</v>
      </c>
      <c r="D511" s="220" t="s">
        <v>1176</v>
      </c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>
        <v>65000</v>
      </c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</row>
    <row r="512" spans="1:172" x14ac:dyDescent="0.25">
      <c r="A512" s="195" t="s">
        <v>920</v>
      </c>
      <c r="B512" s="18" t="s">
        <v>910</v>
      </c>
      <c r="C512" s="7">
        <v>-30</v>
      </c>
      <c r="D512" s="220" t="s">
        <v>1177</v>
      </c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EK512" s="1">
        <v>30</v>
      </c>
    </row>
    <row r="513" spans="1:181" x14ac:dyDescent="0.25">
      <c r="A513" s="195" t="s">
        <v>920</v>
      </c>
      <c r="B513" s="18" t="s">
        <v>930</v>
      </c>
      <c r="C513" s="7">
        <v>-132000</v>
      </c>
      <c r="D513" s="220" t="s">
        <v>1178</v>
      </c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>
        <v>132000</v>
      </c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</row>
    <row r="514" spans="1:181" x14ac:dyDescent="0.25">
      <c r="A514" s="195" t="s">
        <v>920</v>
      </c>
      <c r="B514" s="18" t="s">
        <v>932</v>
      </c>
      <c r="C514" s="7">
        <v>-52000</v>
      </c>
      <c r="D514" s="220" t="s">
        <v>1179</v>
      </c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>
        <v>52000</v>
      </c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</row>
    <row r="515" spans="1:181" x14ac:dyDescent="0.25">
      <c r="A515" s="195" t="s">
        <v>920</v>
      </c>
      <c r="B515" s="18" t="s">
        <v>717</v>
      </c>
      <c r="C515" s="1">
        <v>-30000</v>
      </c>
      <c r="D515" s="220" t="s">
        <v>1180</v>
      </c>
      <c r="AN515" s="1">
        <v>30000</v>
      </c>
    </row>
    <row r="516" spans="1:181" x14ac:dyDescent="0.25">
      <c r="A516" s="195" t="s">
        <v>920</v>
      </c>
      <c r="B516" s="18" t="s">
        <v>923</v>
      </c>
      <c r="C516" s="1">
        <v>-400000</v>
      </c>
      <c r="D516" s="220" t="s">
        <v>1181</v>
      </c>
      <c r="AG516" s="1">
        <v>400000</v>
      </c>
    </row>
    <row r="517" spans="1:181" x14ac:dyDescent="0.25">
      <c r="A517" s="195" t="s">
        <v>920</v>
      </c>
      <c r="B517" s="18" t="s">
        <v>924</v>
      </c>
      <c r="C517" s="7">
        <v>-49000</v>
      </c>
      <c r="D517" s="220" t="s">
        <v>1182</v>
      </c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FY517" s="1">
        <v>49000</v>
      </c>
    </row>
    <row r="518" spans="1:181" x14ac:dyDescent="0.25">
      <c r="A518" s="195" t="s">
        <v>934</v>
      </c>
      <c r="B518" s="18" t="s">
        <v>935</v>
      </c>
      <c r="C518" s="7">
        <v>-150</v>
      </c>
      <c r="D518" s="220" t="s">
        <v>1183</v>
      </c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EK518" s="1">
        <v>150</v>
      </c>
    </row>
    <row r="519" spans="1:181" x14ac:dyDescent="0.25">
      <c r="A519" s="195" t="s">
        <v>939</v>
      </c>
      <c r="B519" s="18" t="s">
        <v>940</v>
      </c>
      <c r="C519" s="7">
        <v>-60000</v>
      </c>
      <c r="D519" s="220" t="s">
        <v>1184</v>
      </c>
      <c r="Z519" s="14"/>
      <c r="AA519" s="14"/>
      <c r="AB519" s="14"/>
      <c r="AC519" s="12">
        <v>60000</v>
      </c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</row>
    <row r="520" spans="1:181" x14ac:dyDescent="0.25">
      <c r="A520" s="195" t="s">
        <v>939</v>
      </c>
      <c r="B520" s="18" t="s">
        <v>949</v>
      </c>
      <c r="C520" s="7">
        <v>-58</v>
      </c>
      <c r="D520" s="220" t="s">
        <v>1185</v>
      </c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EP520" s="1">
        <v>58</v>
      </c>
    </row>
    <row r="521" spans="1:181" s="58" customFormat="1" x14ac:dyDescent="0.25">
      <c r="A521" s="195" t="s">
        <v>939</v>
      </c>
      <c r="B521" s="84" t="s">
        <v>1267</v>
      </c>
      <c r="C521" s="58">
        <v>404</v>
      </c>
      <c r="D521" s="221" t="s">
        <v>1272</v>
      </c>
      <c r="E521" s="249"/>
      <c r="F521" s="262"/>
      <c r="G521" s="262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8">
        <v>-3000</v>
      </c>
      <c r="DS521" s="56"/>
      <c r="DT521" s="56"/>
      <c r="DU521" s="56"/>
    </row>
    <row r="522" spans="1:181" s="7" customFormat="1" x14ac:dyDescent="0.25">
      <c r="A522" s="11"/>
      <c r="B522" s="41" t="s">
        <v>1268</v>
      </c>
      <c r="D522" s="11"/>
      <c r="E522" s="11"/>
      <c r="F522" s="11"/>
      <c r="G522" s="11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DS522" s="14"/>
      <c r="DT522" s="14"/>
      <c r="DU522" s="14"/>
      <c r="EH522" s="7">
        <v>100</v>
      </c>
    </row>
    <row r="523" spans="1:181" s="7" customFormat="1" x14ac:dyDescent="0.25">
      <c r="A523" s="11"/>
      <c r="B523" s="41" t="s">
        <v>1269</v>
      </c>
      <c r="D523" s="11"/>
      <c r="E523" s="11"/>
      <c r="F523" s="11"/>
      <c r="G523" s="11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DS523" s="14"/>
      <c r="DT523" s="14"/>
      <c r="DU523" s="14"/>
      <c r="FL523" s="7">
        <v>280</v>
      </c>
    </row>
    <row r="524" spans="1:181" s="7" customFormat="1" x14ac:dyDescent="0.25">
      <c r="A524" s="11"/>
      <c r="B524" s="41" t="s">
        <v>1270</v>
      </c>
      <c r="D524" s="11"/>
      <c r="E524" s="11"/>
      <c r="F524" s="11"/>
      <c r="G524" s="11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DS524" s="14"/>
      <c r="DT524" s="14"/>
      <c r="DU524" s="14"/>
      <c r="EK524" s="7">
        <v>1216</v>
      </c>
    </row>
    <row r="525" spans="1:181" s="7" customFormat="1" x14ac:dyDescent="0.25">
      <c r="A525" s="11"/>
      <c r="B525" s="41" t="s">
        <v>1271</v>
      </c>
      <c r="D525" s="11"/>
      <c r="E525" s="11"/>
      <c r="F525" s="11"/>
      <c r="G525" s="11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DS525" s="14"/>
      <c r="DT525" s="14"/>
      <c r="DU525" s="14"/>
      <c r="FE525" s="7">
        <v>1000</v>
      </c>
    </row>
    <row r="526" spans="1:181" x14ac:dyDescent="0.25">
      <c r="A526" s="195" t="s">
        <v>939</v>
      </c>
      <c r="B526" s="18" t="s">
        <v>909</v>
      </c>
      <c r="C526" s="7">
        <v>-65000</v>
      </c>
      <c r="D526" s="220" t="s">
        <v>1190</v>
      </c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>
        <v>65000</v>
      </c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</row>
    <row r="527" spans="1:181" x14ac:dyDescent="0.25">
      <c r="A527" s="195" t="s">
        <v>939</v>
      </c>
      <c r="B527" s="18" t="s">
        <v>941</v>
      </c>
      <c r="C527" s="7">
        <v>-30</v>
      </c>
      <c r="D527" s="220" t="s">
        <v>1191</v>
      </c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EK527" s="1">
        <v>30</v>
      </c>
    </row>
    <row r="528" spans="1:181" x14ac:dyDescent="0.25">
      <c r="A528" s="196" t="s">
        <v>939</v>
      </c>
      <c r="B528" s="84" t="s">
        <v>1680</v>
      </c>
      <c r="C528" s="7"/>
      <c r="Z528" s="14"/>
      <c r="AA528" s="14"/>
      <c r="AB528" s="14">
        <v>-380594</v>
      </c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</row>
    <row r="529" spans="1:184" s="7" customFormat="1" x14ac:dyDescent="0.25">
      <c r="A529" s="11"/>
      <c r="B529" s="41" t="s">
        <v>2041</v>
      </c>
      <c r="D529" s="11"/>
      <c r="E529" s="11"/>
      <c r="F529" s="11"/>
      <c r="G529" s="11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DS529" s="14"/>
      <c r="DT529" s="14"/>
      <c r="DU529" s="14"/>
      <c r="EU529" s="7">
        <f>2700+950+2350+3150</f>
        <v>9150</v>
      </c>
      <c r="FQ529" s="7">
        <f>150+1920</f>
        <v>2070</v>
      </c>
    </row>
    <row r="530" spans="1:184" s="7" customFormat="1" x14ac:dyDescent="0.25">
      <c r="A530" s="11"/>
      <c r="B530" s="41" t="s">
        <v>1656</v>
      </c>
      <c r="D530" s="11"/>
      <c r="E530" s="11"/>
      <c r="F530" s="11"/>
      <c r="G530" s="11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DS530" s="14"/>
      <c r="DT530" s="14"/>
      <c r="DU530" s="14"/>
      <c r="GA530" s="7">
        <v>10000</v>
      </c>
    </row>
    <row r="531" spans="1:184" s="110" customFormat="1" ht="30" x14ac:dyDescent="0.25">
      <c r="A531" s="112"/>
      <c r="B531" s="111" t="s">
        <v>2039</v>
      </c>
      <c r="D531" s="112"/>
      <c r="E531" s="112"/>
      <c r="F531" s="112"/>
      <c r="G531" s="112"/>
      <c r="Z531" s="113"/>
      <c r="AA531" s="113"/>
      <c r="AB531" s="113"/>
      <c r="AC531" s="113"/>
      <c r="AD531" s="113"/>
      <c r="AE531" s="113"/>
      <c r="AF531" s="113"/>
      <c r="AG531" s="113"/>
      <c r="AH531" s="113"/>
      <c r="AI531" s="113"/>
      <c r="AJ531" s="113"/>
      <c r="AK531" s="113"/>
      <c r="AL531" s="113"/>
      <c r="AM531" s="113"/>
      <c r="AN531" s="113"/>
      <c r="AO531" s="113"/>
      <c r="AP531" s="113"/>
      <c r="AQ531" s="113"/>
      <c r="AR531" s="113"/>
      <c r="AS531" s="113"/>
      <c r="AT531" s="113"/>
      <c r="AU531" s="113"/>
      <c r="AV531" s="113"/>
      <c r="AW531" s="113"/>
      <c r="AX531" s="113"/>
      <c r="AY531" s="113"/>
      <c r="AZ531" s="113"/>
      <c r="BA531" s="113"/>
      <c r="BB531" s="113"/>
      <c r="BC531" s="113"/>
      <c r="BD531" s="113"/>
      <c r="BE531" s="113"/>
      <c r="BF531" s="113"/>
      <c r="BG531" s="113"/>
      <c r="DS531" s="113"/>
      <c r="DT531" s="113"/>
      <c r="DU531" s="113"/>
      <c r="FA531" s="110">
        <f>9330+18680</f>
        <v>28010</v>
      </c>
      <c r="FB531" s="110">
        <f>11840+21890</f>
        <v>33730</v>
      </c>
      <c r="FC531" s="110">
        <f>1320+1050+375+14250+11280+380+1950+150+6200+100+250+1010+95+100+7600+16100+1875+960+108+3200+6400+75+280+145+1000+450+120+150+290+3930+1700+240+170+14690+18500+80+80+2300+1320+20</f>
        <v>120293</v>
      </c>
    </row>
    <row r="532" spans="1:184" s="7" customFormat="1" x14ac:dyDescent="0.25">
      <c r="A532" s="11"/>
      <c r="B532" s="41" t="s">
        <v>1670</v>
      </c>
      <c r="D532" s="11"/>
      <c r="E532" s="11"/>
      <c r="F532" s="11"/>
      <c r="G532" s="11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DS532" s="14"/>
      <c r="DT532" s="14"/>
      <c r="DU532" s="14"/>
      <c r="GB532" s="7">
        <f>1500+2297+3290+1100+1080</f>
        <v>9267</v>
      </c>
    </row>
    <row r="533" spans="1:184" s="7" customFormat="1" x14ac:dyDescent="0.25">
      <c r="A533" s="11"/>
      <c r="B533" s="41" t="s">
        <v>1657</v>
      </c>
      <c r="D533" s="11"/>
      <c r="E533" s="11"/>
      <c r="F533" s="11"/>
      <c r="G533" s="11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DS533" s="14"/>
      <c r="DT533" s="14"/>
      <c r="DU533" s="14"/>
      <c r="FJ533" s="7">
        <v>11000</v>
      </c>
    </row>
    <row r="534" spans="1:184" s="7" customFormat="1" x14ac:dyDescent="0.25">
      <c r="A534" s="11"/>
      <c r="B534" s="41" t="s">
        <v>2040</v>
      </c>
      <c r="D534" s="11"/>
      <c r="E534" s="11"/>
      <c r="F534" s="11"/>
      <c r="G534" s="11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DS534" s="14"/>
      <c r="DT534" s="14"/>
      <c r="DU534" s="14"/>
      <c r="EK534" s="7">
        <f>200+45+436+105+200+200+200+300+3278+200+200+240+1000+200+200+2000+240</f>
        <v>9244</v>
      </c>
    </row>
    <row r="535" spans="1:184" s="7" customFormat="1" x14ac:dyDescent="0.25">
      <c r="A535" s="11"/>
      <c r="B535" s="41" t="s">
        <v>2102</v>
      </c>
      <c r="D535" s="11"/>
      <c r="E535" s="11"/>
      <c r="F535" s="11"/>
      <c r="G535" s="11"/>
      <c r="N535" s="7">
        <f>500+2500</f>
        <v>3000</v>
      </c>
      <c r="O535" s="7">
        <f>1000</f>
        <v>1000</v>
      </c>
      <c r="P535" s="7">
        <f>1000</f>
        <v>1000</v>
      </c>
      <c r="Q535" s="7">
        <f>3000</f>
        <v>3000</v>
      </c>
      <c r="R535" s="7">
        <v>2000</v>
      </c>
      <c r="V535" s="7">
        <f>500+500</f>
        <v>1000</v>
      </c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DS535" s="14"/>
      <c r="DT535" s="14"/>
      <c r="DU535" s="14"/>
    </row>
    <row r="536" spans="1:184" s="7" customFormat="1" x14ac:dyDescent="0.25">
      <c r="A536" s="11"/>
      <c r="B536" s="41" t="s">
        <v>1662</v>
      </c>
      <c r="D536" s="11"/>
      <c r="E536" s="11"/>
      <c r="F536" s="11"/>
      <c r="G536" s="11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DS536" s="14"/>
      <c r="DT536" s="14"/>
      <c r="DU536" s="14"/>
      <c r="EQ536" s="7">
        <v>1500</v>
      </c>
    </row>
    <row r="537" spans="1:184" s="7" customFormat="1" x14ac:dyDescent="0.25">
      <c r="A537" s="11"/>
      <c r="B537" s="41" t="s">
        <v>1663</v>
      </c>
      <c r="D537" s="11"/>
      <c r="E537" s="11"/>
      <c r="F537" s="11"/>
      <c r="G537" s="11"/>
      <c r="DS537" s="14"/>
      <c r="DT537" s="14"/>
      <c r="DU537" s="14"/>
      <c r="FL537" s="7">
        <f>550+280+1600+240+90</f>
        <v>2760</v>
      </c>
    </row>
    <row r="538" spans="1:184" s="7" customFormat="1" x14ac:dyDescent="0.25">
      <c r="A538" s="11"/>
      <c r="B538" s="41" t="s">
        <v>2042</v>
      </c>
      <c r="D538" s="11"/>
      <c r="E538" s="11"/>
      <c r="F538" s="11"/>
      <c r="G538" s="11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DS538" s="14"/>
      <c r="DT538" s="14"/>
      <c r="DU538" s="14"/>
      <c r="FE538" s="7">
        <f>500+1000+2000+500+2000+500+320+3760+1000+1000+100+3722+1200+1000+500+2159+2760+1000+3000+2000+1000+3000</f>
        <v>34021</v>
      </c>
    </row>
    <row r="539" spans="1:184" s="7" customFormat="1" x14ac:dyDescent="0.25">
      <c r="A539" s="11"/>
      <c r="B539" s="41" t="s">
        <v>1664</v>
      </c>
      <c r="D539" s="11"/>
      <c r="E539" s="11"/>
      <c r="F539" s="11"/>
      <c r="G539" s="11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DS539" s="14"/>
      <c r="DT539" s="14"/>
      <c r="DU539" s="14"/>
      <c r="ES539" s="7">
        <f>900+3500+20250+800+360+2400+1000</f>
        <v>29210</v>
      </c>
    </row>
    <row r="540" spans="1:184" s="7" customFormat="1" x14ac:dyDescent="0.25">
      <c r="A540" s="11"/>
      <c r="B540" s="41" t="s">
        <v>1665</v>
      </c>
      <c r="D540" s="11"/>
      <c r="E540" s="11"/>
      <c r="F540" s="11"/>
      <c r="G540" s="11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DS540" s="14"/>
      <c r="DT540" s="14"/>
      <c r="DU540" s="14"/>
      <c r="EM540" s="7">
        <f>500+200+400</f>
        <v>1100</v>
      </c>
    </row>
    <row r="541" spans="1:184" s="7" customFormat="1" x14ac:dyDescent="0.25">
      <c r="A541" s="11"/>
      <c r="B541" s="41" t="s">
        <v>1668</v>
      </c>
      <c r="D541" s="11"/>
      <c r="E541" s="11"/>
      <c r="F541" s="11"/>
      <c r="G541" s="11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DS541" s="14"/>
      <c r="DT541" s="14"/>
      <c r="DU541" s="14"/>
      <c r="EL541" s="7">
        <f>1300+2000+1350+2000+500</f>
        <v>7150</v>
      </c>
    </row>
    <row r="542" spans="1:184" s="7" customFormat="1" x14ac:dyDescent="0.25">
      <c r="A542" s="11"/>
      <c r="B542" s="41" t="s">
        <v>1667</v>
      </c>
      <c r="D542" s="11"/>
      <c r="E542" s="11"/>
      <c r="F542" s="11"/>
      <c r="G542" s="11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DS542" s="14"/>
      <c r="DT542" s="14"/>
      <c r="DU542" s="14"/>
      <c r="EJ542" s="7">
        <f>4500+5000</f>
        <v>9500</v>
      </c>
    </row>
    <row r="543" spans="1:184" s="7" customFormat="1" x14ac:dyDescent="0.25">
      <c r="A543" s="11"/>
      <c r="B543" s="41" t="s">
        <v>1666</v>
      </c>
      <c r="D543" s="11"/>
      <c r="E543" s="11"/>
      <c r="F543" s="11"/>
      <c r="G543" s="11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DS543" s="14"/>
      <c r="DT543" s="14"/>
      <c r="DU543" s="14"/>
      <c r="EG543" s="7">
        <v>115</v>
      </c>
    </row>
    <row r="544" spans="1:184" s="7" customFormat="1" x14ac:dyDescent="0.25">
      <c r="A544" s="11"/>
      <c r="B544" s="41" t="s">
        <v>1673</v>
      </c>
      <c r="D544" s="11"/>
      <c r="E544" s="11"/>
      <c r="F544" s="11"/>
      <c r="G544" s="11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DS544" s="14"/>
      <c r="DT544" s="14"/>
      <c r="DU544" s="14"/>
      <c r="DW544" s="7">
        <f>26000+2500</f>
        <v>28500</v>
      </c>
    </row>
    <row r="545" spans="1:182" s="7" customFormat="1" x14ac:dyDescent="0.25">
      <c r="A545" s="11"/>
      <c r="B545" s="41" t="s">
        <v>1669</v>
      </c>
      <c r="D545" s="11"/>
      <c r="E545" s="11"/>
      <c r="F545" s="11"/>
      <c r="G545" s="11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DS545" s="14"/>
      <c r="DT545" s="14"/>
      <c r="DU545" s="14"/>
      <c r="FZ545" s="7">
        <f>2600+360</f>
        <v>2960</v>
      </c>
    </row>
    <row r="546" spans="1:182" s="7" customFormat="1" x14ac:dyDescent="0.25">
      <c r="A546" s="11"/>
      <c r="B546" s="41" t="s">
        <v>1671</v>
      </c>
      <c r="D546" s="11"/>
      <c r="E546" s="11"/>
      <c r="F546" s="11"/>
      <c r="G546" s="11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DS546" s="14"/>
      <c r="DT546" s="14"/>
      <c r="DU546" s="14"/>
      <c r="FK546" s="7">
        <f>500+300</f>
        <v>800</v>
      </c>
    </row>
    <row r="547" spans="1:182" s="7" customFormat="1" x14ac:dyDescent="0.25">
      <c r="A547" s="11"/>
      <c r="B547" s="41" t="s">
        <v>1679</v>
      </c>
      <c r="D547" s="11"/>
      <c r="E547" s="11"/>
      <c r="F547" s="11"/>
      <c r="G547" s="11"/>
      <c r="Z547" s="14"/>
      <c r="AA547" s="14"/>
      <c r="AB547" s="14"/>
      <c r="AC547" s="12">
        <v>19214</v>
      </c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DS547" s="14"/>
      <c r="DT547" s="14"/>
      <c r="DU547" s="14"/>
    </row>
    <row r="548" spans="1:182" x14ac:dyDescent="0.25">
      <c r="A548" s="195" t="s">
        <v>944</v>
      </c>
      <c r="B548" s="18" t="s">
        <v>950</v>
      </c>
      <c r="C548" s="7">
        <v>500000</v>
      </c>
      <c r="D548" s="220" t="s">
        <v>1192</v>
      </c>
      <c r="H548" s="1">
        <v>500000</v>
      </c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</row>
    <row r="549" spans="1:182" x14ac:dyDescent="0.25">
      <c r="A549" s="195" t="s">
        <v>944</v>
      </c>
      <c r="B549" s="18" t="s">
        <v>947</v>
      </c>
      <c r="C549" s="7">
        <v>-40</v>
      </c>
      <c r="D549" s="220" t="s">
        <v>1193</v>
      </c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CO549" s="1">
        <v>40</v>
      </c>
    </row>
    <row r="550" spans="1:182" x14ac:dyDescent="0.25">
      <c r="A550" s="195" t="s">
        <v>944</v>
      </c>
      <c r="B550" s="18" t="s">
        <v>929</v>
      </c>
      <c r="C550" s="7">
        <v>-100000</v>
      </c>
      <c r="D550" s="220" t="s">
        <v>1194</v>
      </c>
      <c r="Z550" s="14"/>
      <c r="AA550" s="14"/>
      <c r="AB550" s="14"/>
      <c r="AC550" s="14"/>
      <c r="AD550" s="14"/>
      <c r="AE550" s="14"/>
      <c r="AF550" s="14"/>
      <c r="AG550" s="14"/>
      <c r="AH550" s="14">
        <v>100000</v>
      </c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</row>
    <row r="551" spans="1:182" x14ac:dyDescent="0.25">
      <c r="A551" s="195" t="s">
        <v>944</v>
      </c>
      <c r="B551" s="18" t="s">
        <v>576</v>
      </c>
      <c r="C551" s="7">
        <v>-58</v>
      </c>
      <c r="D551" s="220" t="s">
        <v>1195</v>
      </c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EP551" s="1">
        <v>58</v>
      </c>
    </row>
    <row r="552" spans="1:182" x14ac:dyDescent="0.25">
      <c r="A552" s="195" t="s">
        <v>944</v>
      </c>
      <c r="B552" s="18" t="s">
        <v>946</v>
      </c>
      <c r="C552" s="7">
        <v>-104000</v>
      </c>
      <c r="D552" s="220" t="s">
        <v>1196</v>
      </c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>
        <v>104000</v>
      </c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</row>
    <row r="553" spans="1:182" x14ac:dyDescent="0.25">
      <c r="A553" s="195" t="s">
        <v>944</v>
      </c>
      <c r="B553" s="18" t="s">
        <v>910</v>
      </c>
      <c r="C553" s="7">
        <v>-35</v>
      </c>
      <c r="D553" s="220" t="s">
        <v>1197</v>
      </c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EK553" s="1">
        <v>35</v>
      </c>
    </row>
    <row r="554" spans="1:182" x14ac:dyDescent="0.25">
      <c r="A554" s="195" t="s">
        <v>944</v>
      </c>
      <c r="B554" s="18" t="s">
        <v>948</v>
      </c>
      <c r="C554" s="7">
        <v>-3000</v>
      </c>
      <c r="D554" s="220" t="s">
        <v>1198</v>
      </c>
      <c r="I554" s="1">
        <v>3000</v>
      </c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</row>
    <row r="555" spans="1:182" x14ac:dyDescent="0.25">
      <c r="A555" s="195" t="s">
        <v>1026</v>
      </c>
      <c r="B555" s="18" t="s">
        <v>946</v>
      </c>
      <c r="C555" s="7">
        <v>-104000</v>
      </c>
      <c r="D555" s="220" t="s">
        <v>1199</v>
      </c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>
        <v>104000</v>
      </c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</row>
    <row r="556" spans="1:182" x14ac:dyDescent="0.25">
      <c r="A556" s="195" t="s">
        <v>1026</v>
      </c>
      <c r="B556" s="18" t="s">
        <v>910</v>
      </c>
      <c r="C556" s="7">
        <v>-30</v>
      </c>
      <c r="D556" s="220" t="s">
        <v>1200</v>
      </c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EK556" s="1">
        <v>30</v>
      </c>
    </row>
    <row r="557" spans="1:182" s="4" customFormat="1" x14ac:dyDescent="0.25">
      <c r="A557" s="10" t="s">
        <v>1026</v>
      </c>
      <c r="B557" s="32" t="s">
        <v>1187</v>
      </c>
      <c r="C557" s="4">
        <v>-18502</v>
      </c>
      <c r="D557" s="10" t="s">
        <v>1201</v>
      </c>
      <c r="E557" s="248"/>
      <c r="F557" s="261"/>
      <c r="G557" s="261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CT557" s="4">
        <v>18502</v>
      </c>
      <c r="DS557" s="12"/>
      <c r="DT557" s="12"/>
      <c r="DU557" s="12"/>
    </row>
    <row r="558" spans="1:182" s="4" customFormat="1" x14ac:dyDescent="0.25">
      <c r="A558" s="10" t="s">
        <v>1026</v>
      </c>
      <c r="B558" s="32" t="s">
        <v>1188</v>
      </c>
      <c r="C558" s="4">
        <v>-1498</v>
      </c>
      <c r="D558" s="10" t="s">
        <v>1202</v>
      </c>
      <c r="E558" s="248"/>
      <c r="F558" s="261"/>
      <c r="G558" s="261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CV558" s="4">
        <v>1498</v>
      </c>
      <c r="DS558" s="12"/>
      <c r="DT558" s="12"/>
      <c r="DU558" s="12"/>
    </row>
    <row r="559" spans="1:182" x14ac:dyDescent="0.25">
      <c r="A559" s="195" t="s">
        <v>1026</v>
      </c>
      <c r="B559" s="18" t="s">
        <v>928</v>
      </c>
      <c r="C559" s="7">
        <v>-25000</v>
      </c>
      <c r="D559" s="11" t="s">
        <v>1203</v>
      </c>
      <c r="E559" s="11"/>
      <c r="F559" s="11"/>
      <c r="G559" s="11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DO559" s="1">
        <v>25000</v>
      </c>
    </row>
    <row r="560" spans="1:182" x14ac:dyDescent="0.25">
      <c r="A560" s="195" t="s">
        <v>1026</v>
      </c>
      <c r="B560" s="18" t="s">
        <v>1027</v>
      </c>
      <c r="C560" s="7">
        <v>-25000</v>
      </c>
      <c r="D560" s="11" t="s">
        <v>1204</v>
      </c>
      <c r="E560" s="11"/>
      <c r="F560" s="11"/>
      <c r="G560" s="11"/>
      <c r="Z560" s="14"/>
      <c r="AA560" s="14"/>
      <c r="AB560" s="14"/>
      <c r="AC560" s="12">
        <v>25000</v>
      </c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</row>
    <row r="561" spans="1:149" x14ac:dyDescent="0.25">
      <c r="A561" s="195" t="s">
        <v>1029</v>
      </c>
      <c r="B561" s="18" t="s">
        <v>1028</v>
      </c>
      <c r="C561" s="7">
        <v>-75000</v>
      </c>
      <c r="D561" s="11" t="s">
        <v>1205</v>
      </c>
      <c r="E561" s="11"/>
      <c r="F561" s="11"/>
      <c r="G561" s="11"/>
      <c r="Z561" s="14"/>
      <c r="AA561" s="14"/>
      <c r="AB561" s="14"/>
      <c r="AC561" s="12">
        <v>75000</v>
      </c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</row>
    <row r="562" spans="1:149" x14ac:dyDescent="0.25">
      <c r="A562" s="195" t="s">
        <v>1029</v>
      </c>
      <c r="B562" s="18" t="s">
        <v>1030</v>
      </c>
      <c r="C562" s="7">
        <v>-55</v>
      </c>
      <c r="D562" s="11" t="s">
        <v>1206</v>
      </c>
      <c r="E562" s="11"/>
      <c r="F562" s="11"/>
      <c r="G562" s="11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EK562" s="1">
        <v>55</v>
      </c>
    </row>
    <row r="563" spans="1:149" x14ac:dyDescent="0.25">
      <c r="A563" s="195" t="s">
        <v>1029</v>
      </c>
      <c r="B563" s="18" t="s">
        <v>948</v>
      </c>
      <c r="C563" s="7">
        <v>-5000</v>
      </c>
      <c r="D563" s="11" t="s">
        <v>1207</v>
      </c>
      <c r="E563" s="11"/>
      <c r="F563" s="11"/>
      <c r="G563" s="11"/>
      <c r="I563" s="1">
        <v>5000</v>
      </c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</row>
    <row r="564" spans="1:149" x14ac:dyDescent="0.25">
      <c r="A564" s="195" t="s">
        <v>1093</v>
      </c>
      <c r="B564" s="18" t="s">
        <v>1094</v>
      </c>
      <c r="C564" s="7">
        <v>650000</v>
      </c>
      <c r="D564" s="220" t="s">
        <v>1208</v>
      </c>
      <c r="H564" s="1">
        <v>650000</v>
      </c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</row>
    <row r="565" spans="1:149" x14ac:dyDescent="0.25">
      <c r="A565" s="195" t="s">
        <v>1093</v>
      </c>
      <c r="B565" s="18" t="s">
        <v>1096</v>
      </c>
      <c r="C565" s="7">
        <v>-137500</v>
      </c>
      <c r="D565" s="11" t="s">
        <v>1209</v>
      </c>
      <c r="E565" s="11"/>
      <c r="F565" s="11"/>
      <c r="G565" s="11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>
        <v>137500</v>
      </c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</row>
    <row r="566" spans="1:149" x14ac:dyDescent="0.25">
      <c r="A566" s="160" t="s">
        <v>1093</v>
      </c>
      <c r="B566" s="116" t="s">
        <v>1097</v>
      </c>
      <c r="C566" s="110">
        <v>-90</v>
      </c>
      <c r="D566" s="112" t="s">
        <v>1210</v>
      </c>
      <c r="E566" s="112"/>
      <c r="F566" s="112"/>
      <c r="G566" s="112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EK566" s="139">
        <v>90</v>
      </c>
    </row>
    <row r="567" spans="1:149" x14ac:dyDescent="0.25">
      <c r="A567" s="160" t="s">
        <v>1098</v>
      </c>
      <c r="B567" s="18" t="s">
        <v>1099</v>
      </c>
      <c r="C567" s="110">
        <v>-26000</v>
      </c>
      <c r="D567" s="112" t="s">
        <v>1211</v>
      </c>
      <c r="E567" s="112"/>
      <c r="F567" s="112"/>
      <c r="G567" s="112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>
        <v>26000</v>
      </c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EK567" s="139"/>
    </row>
    <row r="568" spans="1:149" x14ac:dyDescent="0.25">
      <c r="A568" s="160" t="s">
        <v>1098</v>
      </c>
      <c r="B568" s="18" t="s">
        <v>1100</v>
      </c>
      <c r="C568" s="110">
        <v>-30000</v>
      </c>
      <c r="D568" s="112" t="s">
        <v>1212</v>
      </c>
      <c r="E568" s="112"/>
      <c r="F568" s="112"/>
      <c r="G568" s="112"/>
      <c r="Z568" s="14"/>
      <c r="AA568" s="14"/>
      <c r="AB568" s="14"/>
      <c r="AC568" s="12">
        <v>30000</v>
      </c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EK568" s="139"/>
    </row>
    <row r="569" spans="1:149" x14ac:dyDescent="0.25">
      <c r="A569" s="160" t="s">
        <v>1098</v>
      </c>
      <c r="B569" s="138" t="s">
        <v>1101</v>
      </c>
      <c r="C569" s="110">
        <v>-45</v>
      </c>
      <c r="D569" s="112" t="s">
        <v>1213</v>
      </c>
      <c r="E569" s="112"/>
      <c r="F569" s="112"/>
      <c r="G569" s="112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EK569" s="139">
        <v>45</v>
      </c>
    </row>
    <row r="570" spans="1:149" x14ac:dyDescent="0.25">
      <c r="A570" s="160" t="s">
        <v>1098</v>
      </c>
      <c r="B570" s="138" t="s">
        <v>1133</v>
      </c>
      <c r="C570" s="110">
        <f>-16500-1500-500-200</f>
        <v>-18700</v>
      </c>
      <c r="D570" s="112" t="s">
        <v>1214</v>
      </c>
      <c r="E570" s="112"/>
      <c r="F570" s="112"/>
      <c r="G570" s="112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DM570" s="1">
        <v>18700</v>
      </c>
      <c r="EK570" s="139"/>
    </row>
    <row r="571" spans="1:149" x14ac:dyDescent="0.25">
      <c r="A571" s="160" t="s">
        <v>1128</v>
      </c>
      <c r="B571" s="138" t="s">
        <v>1134</v>
      </c>
      <c r="C571" s="110">
        <v>-500</v>
      </c>
      <c r="D571" s="112" t="s">
        <v>1215</v>
      </c>
      <c r="E571" s="112"/>
      <c r="F571" s="112"/>
      <c r="G571" s="112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EK571" s="139"/>
      <c r="ES571" s="1">
        <v>500</v>
      </c>
    </row>
    <row r="572" spans="1:149" x14ac:dyDescent="0.25">
      <c r="A572" s="160" t="s">
        <v>1128</v>
      </c>
      <c r="B572" s="18" t="s">
        <v>1130</v>
      </c>
      <c r="C572" s="110">
        <v>500000</v>
      </c>
      <c r="D572" s="220" t="s">
        <v>1216</v>
      </c>
      <c r="H572" s="1">
        <v>500000</v>
      </c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EK572" s="139"/>
    </row>
    <row r="573" spans="1:149" x14ac:dyDescent="0.25">
      <c r="A573" s="160" t="s">
        <v>1128</v>
      </c>
      <c r="B573" s="18" t="s">
        <v>1136</v>
      </c>
      <c r="C573" s="110">
        <v>-40</v>
      </c>
      <c r="D573" s="112" t="s">
        <v>1217</v>
      </c>
      <c r="E573" s="112"/>
      <c r="F573" s="112"/>
      <c r="G573" s="112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CO573" s="1">
        <v>40</v>
      </c>
      <c r="EK573" s="139"/>
    </row>
    <row r="574" spans="1:149" x14ac:dyDescent="0.25">
      <c r="A574" s="160" t="s">
        <v>1128</v>
      </c>
      <c r="B574" s="18" t="s">
        <v>1129</v>
      </c>
      <c r="C574" s="110">
        <f>-196767-27000-37000-17000-10500-33500-43000-54000</f>
        <v>-418767</v>
      </c>
      <c r="D574" s="112" t="s">
        <v>1218</v>
      </c>
      <c r="E574" s="112"/>
      <c r="F574" s="112"/>
      <c r="G574" s="112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DC574" s="1">
        <v>418767</v>
      </c>
      <c r="EK574" s="139"/>
    </row>
    <row r="575" spans="1:149" s="4" customFormat="1" x14ac:dyDescent="0.25">
      <c r="A575" s="198" t="s">
        <v>1128</v>
      </c>
      <c r="B575" s="32" t="s">
        <v>2164</v>
      </c>
      <c r="C575" s="143"/>
      <c r="D575" s="198"/>
      <c r="E575" s="198"/>
      <c r="F575" s="198"/>
      <c r="G575" s="198"/>
      <c r="T575" s="4">
        <v>-4000</v>
      </c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DS575" s="12"/>
      <c r="DT575" s="12"/>
      <c r="DU575" s="12"/>
      <c r="EK575" s="143"/>
    </row>
    <row r="576" spans="1:149" x14ac:dyDescent="0.25">
      <c r="A576" s="160"/>
      <c r="B576" s="18" t="s">
        <v>2165</v>
      </c>
      <c r="C576" s="110"/>
      <c r="D576" s="112"/>
      <c r="E576" s="112"/>
      <c r="F576" s="112"/>
      <c r="G576" s="112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DC576" s="1">
        <v>4000</v>
      </c>
      <c r="EK576" s="139"/>
    </row>
    <row r="577" spans="1:146" x14ac:dyDescent="0.25">
      <c r="A577" s="198" t="s">
        <v>1128</v>
      </c>
      <c r="B577" s="32" t="s">
        <v>2166</v>
      </c>
      <c r="C577" s="110"/>
      <c r="D577" s="112"/>
      <c r="E577" s="112"/>
      <c r="F577" s="112"/>
      <c r="G577" s="112"/>
      <c r="V577" s="1">
        <v>-6500</v>
      </c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EK577" s="139"/>
    </row>
    <row r="578" spans="1:146" x14ac:dyDescent="0.25">
      <c r="A578" s="160"/>
      <c r="B578" s="18" t="s">
        <v>2168</v>
      </c>
      <c r="C578" s="110"/>
      <c r="D578" s="112"/>
      <c r="E578" s="112"/>
      <c r="F578" s="112"/>
      <c r="G578" s="112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DC578" s="1">
        <v>6500</v>
      </c>
      <c r="EK578" s="139"/>
    </row>
    <row r="579" spans="1:146" x14ac:dyDescent="0.25">
      <c r="A579" s="198" t="s">
        <v>1128</v>
      </c>
      <c r="B579" s="32" t="s">
        <v>2167</v>
      </c>
      <c r="C579" s="110"/>
      <c r="D579" s="112"/>
      <c r="E579" s="112"/>
      <c r="F579" s="112"/>
      <c r="G579" s="112"/>
      <c r="Y579" s="1">
        <v>-30000</v>
      </c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EK579" s="139"/>
    </row>
    <row r="580" spans="1:146" x14ac:dyDescent="0.25">
      <c r="A580" s="160"/>
      <c r="B580" s="18" t="s">
        <v>2169</v>
      </c>
      <c r="C580" s="110"/>
      <c r="D580" s="112"/>
      <c r="E580" s="112"/>
      <c r="F580" s="112"/>
      <c r="G580" s="112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DC580" s="1">
        <v>30000</v>
      </c>
      <c r="EK580" s="139"/>
    </row>
    <row r="581" spans="1:146" x14ac:dyDescent="0.25">
      <c r="A581" s="160" t="s">
        <v>1128</v>
      </c>
      <c r="B581" s="18" t="s">
        <v>1135</v>
      </c>
      <c r="C581" s="110">
        <f>-58-46</f>
        <v>-104</v>
      </c>
      <c r="D581" s="112" t="s">
        <v>1219</v>
      </c>
      <c r="E581" s="112"/>
      <c r="F581" s="112"/>
      <c r="G581" s="112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DF581" s="1">
        <v>104</v>
      </c>
      <c r="EK581" s="139"/>
    </row>
    <row r="582" spans="1:146" x14ac:dyDescent="0.25">
      <c r="A582" s="160" t="s">
        <v>1128</v>
      </c>
      <c r="B582" s="18" t="s">
        <v>1138</v>
      </c>
      <c r="C582" s="110">
        <v>-20</v>
      </c>
      <c r="D582" s="112" t="s">
        <v>1220</v>
      </c>
      <c r="E582" s="112"/>
      <c r="F582" s="112"/>
      <c r="G582" s="112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CO582" s="1">
        <v>20</v>
      </c>
      <c r="EK582" s="139"/>
    </row>
    <row r="583" spans="1:146" x14ac:dyDescent="0.25">
      <c r="A583" s="160" t="s">
        <v>1128</v>
      </c>
      <c r="B583" s="18" t="s">
        <v>932</v>
      </c>
      <c r="C583" s="110">
        <v>-56088</v>
      </c>
      <c r="D583" s="112" t="s">
        <v>1221</v>
      </c>
      <c r="E583" s="112"/>
      <c r="F583" s="112"/>
      <c r="G583" s="112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>
        <v>56088</v>
      </c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EK583" s="139"/>
    </row>
    <row r="584" spans="1:146" x14ac:dyDescent="0.25">
      <c r="A584" s="160" t="s">
        <v>1128</v>
      </c>
      <c r="B584" s="18" t="s">
        <v>1137</v>
      </c>
      <c r="C584" s="110">
        <v>-5</v>
      </c>
      <c r="D584" s="112" t="s">
        <v>1222</v>
      </c>
      <c r="E584" s="112"/>
      <c r="F584" s="112"/>
      <c r="G584" s="112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EK584" s="139">
        <v>5</v>
      </c>
    </row>
    <row r="585" spans="1:146" x14ac:dyDescent="0.25">
      <c r="A585" s="160" t="s">
        <v>1128</v>
      </c>
      <c r="B585" s="18" t="s">
        <v>1096</v>
      </c>
      <c r="C585" s="110">
        <v>-132000</v>
      </c>
      <c r="D585" s="112" t="s">
        <v>1223</v>
      </c>
      <c r="E585" s="112"/>
      <c r="F585" s="112"/>
      <c r="G585" s="112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>
        <v>132000</v>
      </c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EK585" s="139"/>
    </row>
    <row r="586" spans="1:146" s="4" customFormat="1" x14ac:dyDescent="0.25">
      <c r="A586" s="198" t="s">
        <v>1128</v>
      </c>
      <c r="B586" s="32" t="s">
        <v>1139</v>
      </c>
      <c r="C586" s="143">
        <v>-20</v>
      </c>
      <c r="D586" s="112" t="s">
        <v>1224</v>
      </c>
      <c r="E586" s="112"/>
      <c r="F586" s="112"/>
      <c r="G586" s="1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DS586" s="12"/>
      <c r="DT586" s="12"/>
      <c r="DU586" s="12"/>
      <c r="EK586" s="143">
        <v>20</v>
      </c>
    </row>
    <row r="587" spans="1:146" x14ac:dyDescent="0.25">
      <c r="A587" s="160" t="s">
        <v>1140</v>
      </c>
      <c r="B587" s="18" t="s">
        <v>1141</v>
      </c>
      <c r="C587" s="110">
        <v>-262400</v>
      </c>
      <c r="D587" s="112" t="s">
        <v>1225</v>
      </c>
      <c r="E587" s="112"/>
      <c r="F587" s="112"/>
      <c r="G587" s="112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>
        <v>262400</v>
      </c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EK587" s="139"/>
    </row>
    <row r="588" spans="1:146" x14ac:dyDescent="0.25">
      <c r="A588" s="160" t="s">
        <v>1140</v>
      </c>
      <c r="B588" s="18" t="s">
        <v>1150</v>
      </c>
      <c r="C588" s="110">
        <v>-60</v>
      </c>
      <c r="D588" s="112" t="s">
        <v>1226</v>
      </c>
      <c r="E588" s="112"/>
      <c r="F588" s="112"/>
      <c r="G588" s="112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EK588" s="139">
        <v>60</v>
      </c>
    </row>
    <row r="589" spans="1:146" s="139" customFormat="1" ht="30" x14ac:dyDescent="0.25">
      <c r="A589" s="160" t="s">
        <v>1140</v>
      </c>
      <c r="B589" s="116" t="s">
        <v>1257</v>
      </c>
      <c r="C589" s="110">
        <v>-50000</v>
      </c>
      <c r="D589" s="112" t="s">
        <v>1227</v>
      </c>
      <c r="E589" s="112"/>
      <c r="F589" s="112"/>
      <c r="G589" s="112"/>
      <c r="Z589" s="113"/>
      <c r="AA589" s="113"/>
      <c r="AB589" s="113"/>
      <c r="AC589" s="210">
        <v>50000</v>
      </c>
      <c r="AD589" s="113"/>
      <c r="AE589" s="113"/>
      <c r="AF589" s="113"/>
      <c r="AG589" s="113"/>
      <c r="AH589" s="113"/>
      <c r="AI589" s="113"/>
      <c r="AJ589" s="113"/>
      <c r="AK589" s="113"/>
      <c r="AL589" s="113"/>
      <c r="AM589" s="113"/>
      <c r="AN589" s="113"/>
      <c r="AO589" s="113"/>
      <c r="AP589" s="113"/>
      <c r="AQ589" s="113"/>
      <c r="AR589" s="113"/>
      <c r="AS589" s="113"/>
      <c r="AT589" s="113"/>
      <c r="AU589" s="113"/>
      <c r="AV589" s="113"/>
      <c r="AW589" s="113"/>
      <c r="AX589" s="113"/>
      <c r="AY589" s="113"/>
      <c r="AZ589" s="113"/>
      <c r="BA589" s="113"/>
      <c r="BB589" s="113"/>
      <c r="BC589" s="113"/>
      <c r="BD589" s="113"/>
      <c r="BE589" s="113"/>
      <c r="BF589" s="113"/>
      <c r="BG589" s="113"/>
      <c r="DS589" s="161"/>
      <c r="DT589" s="161"/>
      <c r="DU589" s="161"/>
    </row>
    <row r="590" spans="1:146" x14ac:dyDescent="0.25">
      <c r="A590" s="160" t="s">
        <v>1140</v>
      </c>
      <c r="B590" s="18" t="s">
        <v>1151</v>
      </c>
      <c r="C590" s="110">
        <v>-35</v>
      </c>
      <c r="D590" s="112" t="s">
        <v>1228</v>
      </c>
      <c r="E590" s="112"/>
      <c r="F590" s="112"/>
      <c r="G590" s="112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EK590" s="139">
        <v>35</v>
      </c>
    </row>
    <row r="591" spans="1:146" x14ac:dyDescent="0.25">
      <c r="A591" s="160" t="s">
        <v>1140</v>
      </c>
      <c r="B591" s="18" t="s">
        <v>929</v>
      </c>
      <c r="C591" s="110">
        <v>-25000</v>
      </c>
      <c r="D591" s="112" t="s">
        <v>1229</v>
      </c>
      <c r="E591" s="112"/>
      <c r="F591" s="112"/>
      <c r="G591" s="112"/>
      <c r="Z591" s="14"/>
      <c r="AA591" s="14"/>
      <c r="AB591" s="14"/>
      <c r="AC591" s="14"/>
      <c r="AD591" s="14"/>
      <c r="AE591" s="14"/>
      <c r="AF591" s="14"/>
      <c r="AG591" s="14"/>
      <c r="AH591" s="14">
        <v>25000</v>
      </c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EK591" s="139"/>
    </row>
    <row r="592" spans="1:146" x14ac:dyDescent="0.25">
      <c r="A592" s="160" t="s">
        <v>1140</v>
      </c>
      <c r="B592" s="18" t="s">
        <v>576</v>
      </c>
      <c r="C592" s="7">
        <v>-23</v>
      </c>
      <c r="D592" s="112" t="s">
        <v>1230</v>
      </c>
      <c r="E592" s="112"/>
      <c r="F592" s="112"/>
      <c r="G592" s="112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EP592" s="1">
        <v>23</v>
      </c>
    </row>
    <row r="593" spans="1:159" x14ac:dyDescent="0.25">
      <c r="A593" s="160" t="s">
        <v>1140</v>
      </c>
      <c r="B593" s="18" t="s">
        <v>1147</v>
      </c>
      <c r="C593" s="7">
        <v>-900</v>
      </c>
      <c r="D593" s="112" t="s">
        <v>1231</v>
      </c>
      <c r="E593" s="112"/>
      <c r="F593" s="112"/>
      <c r="G593" s="112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FC593" s="1">
        <v>900</v>
      </c>
    </row>
    <row r="594" spans="1:159" x14ac:dyDescent="0.25">
      <c r="A594" s="160" t="s">
        <v>1142</v>
      </c>
      <c r="B594" s="18" t="s">
        <v>1143</v>
      </c>
      <c r="C594" s="7">
        <v>500000</v>
      </c>
      <c r="D594" s="220" t="s">
        <v>1232</v>
      </c>
      <c r="H594" s="1">
        <v>500000</v>
      </c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</row>
    <row r="595" spans="1:159" x14ac:dyDescent="0.25">
      <c r="A595" s="160" t="s">
        <v>1142</v>
      </c>
      <c r="B595" s="18" t="s">
        <v>1136</v>
      </c>
      <c r="C595" s="7">
        <v>-40</v>
      </c>
      <c r="D595" s="112" t="s">
        <v>1233</v>
      </c>
      <c r="E595" s="112"/>
      <c r="F595" s="112"/>
      <c r="G595" s="112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CO595" s="1">
        <v>40</v>
      </c>
    </row>
    <row r="596" spans="1:159" x14ac:dyDescent="0.25">
      <c r="A596" s="160" t="s">
        <v>1142</v>
      </c>
      <c r="B596" s="18" t="s">
        <v>1149</v>
      </c>
      <c r="C596" s="7">
        <f>-2200-1900</f>
        <v>-4100</v>
      </c>
      <c r="D596" s="112" t="s">
        <v>1234</v>
      </c>
      <c r="E596" s="112"/>
      <c r="F596" s="112"/>
      <c r="G596" s="112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FC596" s="1">
        <v>4100</v>
      </c>
    </row>
    <row r="597" spans="1:159" x14ac:dyDescent="0.25">
      <c r="A597" s="160" t="s">
        <v>1142</v>
      </c>
      <c r="B597" s="18" t="s">
        <v>1148</v>
      </c>
      <c r="C597" s="7">
        <v>-8000</v>
      </c>
      <c r="D597" s="112" t="s">
        <v>1235</v>
      </c>
      <c r="E597" s="112"/>
      <c r="F597" s="112"/>
      <c r="G597" s="112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CS597" s="1">
        <v>8000</v>
      </c>
    </row>
    <row r="598" spans="1:159" x14ac:dyDescent="0.25">
      <c r="A598" s="160" t="s">
        <v>1152</v>
      </c>
      <c r="B598" s="138" t="s">
        <v>1153</v>
      </c>
      <c r="C598" s="7">
        <v>-50000</v>
      </c>
      <c r="D598" s="112" t="s">
        <v>1236</v>
      </c>
      <c r="E598" s="112"/>
      <c r="F598" s="112"/>
      <c r="G598" s="112"/>
      <c r="Z598" s="14"/>
      <c r="AA598" s="14"/>
      <c r="AB598" s="14"/>
      <c r="AC598" s="12">
        <v>50000</v>
      </c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</row>
    <row r="599" spans="1:159" x14ac:dyDescent="0.25">
      <c r="A599" s="160" t="s">
        <v>1152</v>
      </c>
      <c r="B599" s="18" t="s">
        <v>1151</v>
      </c>
      <c r="C599" s="7">
        <v>-35</v>
      </c>
      <c r="D599" s="112" t="s">
        <v>1237</v>
      </c>
      <c r="E599" s="112"/>
      <c r="F599" s="112"/>
      <c r="G599" s="112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EK599" s="1">
        <v>35</v>
      </c>
    </row>
    <row r="600" spans="1:159" x14ac:dyDescent="0.25">
      <c r="A600" s="160" t="s">
        <v>1152</v>
      </c>
      <c r="B600" s="18" t="s">
        <v>1238</v>
      </c>
      <c r="C600" s="7">
        <v>-35000</v>
      </c>
      <c r="D600" s="112" t="s">
        <v>1307</v>
      </c>
      <c r="E600" s="112"/>
      <c r="F600" s="112"/>
      <c r="G600" s="112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DM600" s="1">
        <v>35000</v>
      </c>
    </row>
    <row r="601" spans="1:159" ht="30" x14ac:dyDescent="0.25">
      <c r="A601" s="160" t="s">
        <v>1152</v>
      </c>
      <c r="B601" s="138" t="s">
        <v>1266</v>
      </c>
      <c r="C601" s="110">
        <v>-500</v>
      </c>
      <c r="D601" s="112" t="s">
        <v>1308</v>
      </c>
      <c r="E601" s="112"/>
      <c r="F601" s="112"/>
      <c r="G601" s="112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ES601" s="1">
        <v>500</v>
      </c>
    </row>
    <row r="602" spans="1:159" x14ac:dyDescent="0.25">
      <c r="A602" s="160" t="s">
        <v>1239</v>
      </c>
      <c r="B602" s="18" t="s">
        <v>1258</v>
      </c>
      <c r="C602" s="7">
        <v>-27500</v>
      </c>
      <c r="D602" s="112" t="s">
        <v>1309</v>
      </c>
      <c r="E602" s="112"/>
      <c r="F602" s="112"/>
      <c r="G602" s="112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DN602" s="1">
        <v>27500</v>
      </c>
    </row>
    <row r="603" spans="1:159" x14ac:dyDescent="0.25">
      <c r="A603" s="160" t="s">
        <v>1239</v>
      </c>
      <c r="B603" s="18" t="s">
        <v>1242</v>
      </c>
      <c r="C603" s="7">
        <v>-21250</v>
      </c>
      <c r="D603" s="112" t="s">
        <v>1310</v>
      </c>
      <c r="E603" s="112"/>
      <c r="F603" s="112"/>
      <c r="G603" s="112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EU603" s="1">
        <v>21250</v>
      </c>
    </row>
    <row r="604" spans="1:159" x14ac:dyDescent="0.25">
      <c r="A604" s="160" t="s">
        <v>1239</v>
      </c>
      <c r="B604" s="18" t="s">
        <v>1241</v>
      </c>
      <c r="C604" s="7">
        <v>-39250</v>
      </c>
      <c r="D604" s="112" t="s">
        <v>1311</v>
      </c>
      <c r="E604" s="112"/>
      <c r="F604" s="112"/>
      <c r="G604" s="112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>
        <v>39250</v>
      </c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</row>
    <row r="605" spans="1:159" x14ac:dyDescent="0.25">
      <c r="A605" s="160" t="s">
        <v>1239</v>
      </c>
      <c r="B605" s="18" t="s">
        <v>928</v>
      </c>
      <c r="C605" s="7">
        <v>-25000</v>
      </c>
      <c r="D605" s="112" t="s">
        <v>1312</v>
      </c>
      <c r="E605" s="112"/>
      <c r="F605" s="112"/>
      <c r="G605" s="112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DO605" s="1">
        <v>25000</v>
      </c>
    </row>
    <row r="606" spans="1:159" x14ac:dyDescent="0.25">
      <c r="A606" s="160" t="s">
        <v>1239</v>
      </c>
      <c r="B606" s="138" t="s">
        <v>1259</v>
      </c>
      <c r="C606" s="7">
        <v>-60000</v>
      </c>
      <c r="D606" s="112" t="s">
        <v>1313</v>
      </c>
      <c r="E606" s="112"/>
      <c r="F606" s="112"/>
      <c r="G606" s="112"/>
      <c r="Z606" s="14"/>
      <c r="AA606" s="14"/>
      <c r="AB606" s="14"/>
      <c r="AC606" s="12">
        <v>60000</v>
      </c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</row>
    <row r="607" spans="1:159" ht="30" x14ac:dyDescent="0.25">
      <c r="A607" s="160" t="s">
        <v>1239</v>
      </c>
      <c r="B607" s="138" t="s">
        <v>1260</v>
      </c>
      <c r="C607" s="110">
        <v>-60</v>
      </c>
      <c r="D607" s="112" t="s">
        <v>1314</v>
      </c>
      <c r="E607" s="112"/>
      <c r="F607" s="112"/>
      <c r="G607" s="112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EK607" s="1">
        <v>60</v>
      </c>
    </row>
    <row r="608" spans="1:159" x14ac:dyDescent="0.25">
      <c r="A608" s="160" t="s">
        <v>1239</v>
      </c>
      <c r="B608" s="18" t="s">
        <v>1244</v>
      </c>
      <c r="C608" s="7">
        <v>-3000</v>
      </c>
      <c r="D608" s="112" t="s">
        <v>1315</v>
      </c>
      <c r="E608" s="112"/>
      <c r="F608" s="112"/>
      <c r="G608" s="112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CO608" s="1">
        <v>3000</v>
      </c>
    </row>
    <row r="609" spans="1:182" x14ac:dyDescent="0.25">
      <c r="A609" s="160" t="s">
        <v>1239</v>
      </c>
      <c r="B609" s="18" t="s">
        <v>1243</v>
      </c>
      <c r="C609" s="7">
        <v>-60</v>
      </c>
      <c r="D609" s="112" t="s">
        <v>1316</v>
      </c>
      <c r="E609" s="112"/>
      <c r="F609" s="112"/>
      <c r="G609" s="112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CR609" s="1">
        <v>60</v>
      </c>
    </row>
    <row r="610" spans="1:182" x14ac:dyDescent="0.25">
      <c r="A610" s="160" t="s">
        <v>1239</v>
      </c>
      <c r="B610" s="18" t="s">
        <v>1262</v>
      </c>
      <c r="C610" s="7">
        <v>-19800</v>
      </c>
      <c r="D610" s="112" t="s">
        <v>1317</v>
      </c>
      <c r="E610" s="112"/>
      <c r="F610" s="112"/>
      <c r="G610" s="112"/>
      <c r="Z610" s="14"/>
      <c r="AA610" s="14"/>
      <c r="AB610" s="14">
        <v>19800</v>
      </c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</row>
    <row r="611" spans="1:182" x14ac:dyDescent="0.25">
      <c r="A611" s="160" t="s">
        <v>1239</v>
      </c>
      <c r="B611" s="18" t="s">
        <v>1245</v>
      </c>
      <c r="C611" s="7">
        <v>-396</v>
      </c>
      <c r="D611" s="112" t="s">
        <v>1318</v>
      </c>
      <c r="E611" s="112"/>
      <c r="F611" s="112"/>
      <c r="G611" s="112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EY611" s="1">
        <v>396</v>
      </c>
    </row>
    <row r="612" spans="1:182" ht="30" x14ac:dyDescent="0.25">
      <c r="A612" s="160" t="s">
        <v>1246</v>
      </c>
      <c r="B612" s="138" t="s">
        <v>1265</v>
      </c>
      <c r="C612" s="110">
        <v>-300</v>
      </c>
      <c r="D612" s="112" t="s">
        <v>1319</v>
      </c>
      <c r="E612" s="112"/>
      <c r="F612" s="112"/>
      <c r="G612" s="112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ES612" s="139">
        <v>300</v>
      </c>
    </row>
    <row r="613" spans="1:182" x14ac:dyDescent="0.25">
      <c r="A613" s="160" t="s">
        <v>1246</v>
      </c>
      <c r="B613" s="18" t="s">
        <v>1263</v>
      </c>
      <c r="C613" s="110">
        <v>-4200</v>
      </c>
      <c r="D613" s="112" t="s">
        <v>1320</v>
      </c>
      <c r="E613" s="112"/>
      <c r="F613" s="112"/>
      <c r="G613" s="112"/>
      <c r="Z613" s="14"/>
      <c r="AA613" s="14"/>
      <c r="AB613" s="14">
        <v>4200</v>
      </c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</row>
    <row r="614" spans="1:182" x14ac:dyDescent="0.25">
      <c r="A614" s="160" t="s">
        <v>1246</v>
      </c>
      <c r="B614" s="18" t="s">
        <v>1264</v>
      </c>
      <c r="C614" s="110">
        <v>-84</v>
      </c>
      <c r="D614" s="112" t="s">
        <v>1321</v>
      </c>
      <c r="E614" s="112"/>
      <c r="F614" s="112"/>
      <c r="G614" s="112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EY614" s="1">
        <v>84</v>
      </c>
    </row>
    <row r="615" spans="1:182" x14ac:dyDescent="0.25">
      <c r="A615" s="160" t="s">
        <v>1291</v>
      </c>
      <c r="B615" s="18" t="s">
        <v>1297</v>
      </c>
      <c r="C615" s="110">
        <f>-30000-30000</f>
        <v>-60000</v>
      </c>
      <c r="D615" s="112" t="s">
        <v>1322</v>
      </c>
      <c r="E615" s="112"/>
      <c r="F615" s="112"/>
      <c r="G615" s="112"/>
      <c r="Z615" s="14"/>
      <c r="AA615" s="14"/>
      <c r="AB615" s="14"/>
      <c r="AC615" s="12">
        <v>60000</v>
      </c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</row>
    <row r="616" spans="1:182" x14ac:dyDescent="0.25">
      <c r="A616" s="160" t="s">
        <v>1291</v>
      </c>
      <c r="B616" s="18" t="s">
        <v>949</v>
      </c>
      <c r="C616" s="110">
        <v>-23</v>
      </c>
      <c r="D616" s="112" t="s">
        <v>1323</v>
      </c>
      <c r="E616" s="112"/>
      <c r="F616" s="112"/>
      <c r="G616" s="112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EP616" s="1">
        <v>23</v>
      </c>
    </row>
    <row r="617" spans="1:182" x14ac:dyDescent="0.25">
      <c r="A617" s="160" t="s">
        <v>1291</v>
      </c>
      <c r="B617" s="18" t="s">
        <v>1151</v>
      </c>
      <c r="C617" s="110">
        <v>-35</v>
      </c>
      <c r="D617" s="112" t="s">
        <v>1324</v>
      </c>
      <c r="E617" s="112"/>
      <c r="F617" s="112"/>
      <c r="G617" s="112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EK617" s="1">
        <v>35</v>
      </c>
    </row>
    <row r="618" spans="1:182" x14ac:dyDescent="0.25">
      <c r="A618" s="160" t="s">
        <v>1291</v>
      </c>
      <c r="B618" s="18" t="s">
        <v>929</v>
      </c>
      <c r="C618" s="110">
        <v>-25000</v>
      </c>
      <c r="D618" s="112" t="s">
        <v>1325</v>
      </c>
      <c r="E618" s="112"/>
      <c r="F618" s="112"/>
      <c r="G618" s="112"/>
      <c r="Z618" s="14"/>
      <c r="AA618" s="14"/>
      <c r="AB618" s="14"/>
      <c r="AC618" s="14"/>
      <c r="AD618" s="14"/>
      <c r="AE618" s="14"/>
      <c r="AF618" s="14"/>
      <c r="AG618" s="14"/>
      <c r="AH618" s="14">
        <v>25000</v>
      </c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</row>
    <row r="619" spans="1:182" x14ac:dyDescent="0.25">
      <c r="A619" s="160" t="s">
        <v>1291</v>
      </c>
      <c r="B619" s="18" t="s">
        <v>576</v>
      </c>
      <c r="C619" s="110">
        <v>-23</v>
      </c>
      <c r="D619" s="112" t="s">
        <v>1326</v>
      </c>
      <c r="E619" s="112"/>
      <c r="F619" s="112"/>
      <c r="G619" s="112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EP619" s="1">
        <v>23</v>
      </c>
    </row>
    <row r="620" spans="1:182" x14ac:dyDescent="0.25">
      <c r="A620" s="160" t="s">
        <v>1291</v>
      </c>
      <c r="B620" s="18" t="s">
        <v>1298</v>
      </c>
      <c r="C620" s="110">
        <v>-3080</v>
      </c>
      <c r="D620" s="112" t="s">
        <v>1327</v>
      </c>
      <c r="E620" s="112"/>
      <c r="F620" s="112"/>
      <c r="G620" s="112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FC620" s="1">
        <v>3080</v>
      </c>
    </row>
    <row r="621" spans="1:182" x14ac:dyDescent="0.25">
      <c r="A621" s="160" t="s">
        <v>1291</v>
      </c>
      <c r="B621" s="18" t="s">
        <v>1292</v>
      </c>
      <c r="C621" s="110">
        <v>-80</v>
      </c>
      <c r="D621" s="112" t="s">
        <v>1328</v>
      </c>
      <c r="E621" s="112"/>
      <c r="F621" s="112"/>
      <c r="G621" s="112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FZ621" s="1">
        <v>80</v>
      </c>
    </row>
    <row r="622" spans="1:182" x14ac:dyDescent="0.25">
      <c r="A622" s="160" t="s">
        <v>1294</v>
      </c>
      <c r="B622" s="18" t="s">
        <v>1295</v>
      </c>
      <c r="C622" s="110">
        <v>275000</v>
      </c>
      <c r="D622" s="220" t="s">
        <v>1329</v>
      </c>
      <c r="H622" s="1">
        <v>275000</v>
      </c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</row>
    <row r="623" spans="1:182" x14ac:dyDescent="0.25">
      <c r="A623" s="160" t="s">
        <v>1294</v>
      </c>
      <c r="B623" s="18" t="s">
        <v>1136</v>
      </c>
      <c r="C623" s="110">
        <v>-40</v>
      </c>
      <c r="D623" s="220" t="s">
        <v>1330</v>
      </c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CO623" s="1">
        <v>40</v>
      </c>
    </row>
    <row r="624" spans="1:182" x14ac:dyDescent="0.25">
      <c r="A624" s="160" t="s">
        <v>1294</v>
      </c>
      <c r="B624" s="18" t="s">
        <v>1296</v>
      </c>
      <c r="C624" s="110">
        <v>-50000</v>
      </c>
      <c r="D624" s="220" t="s">
        <v>1331</v>
      </c>
      <c r="Z624" s="14"/>
      <c r="AA624" s="14"/>
      <c r="AB624" s="14"/>
      <c r="AC624" s="12">
        <v>50000</v>
      </c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</row>
    <row r="625" spans="1:187" x14ac:dyDescent="0.25">
      <c r="A625" s="160" t="s">
        <v>1294</v>
      </c>
      <c r="B625" s="18" t="s">
        <v>1151</v>
      </c>
      <c r="C625" s="110">
        <v>-20</v>
      </c>
      <c r="D625" s="220" t="s">
        <v>1332</v>
      </c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EK625" s="1">
        <v>20</v>
      </c>
    </row>
    <row r="626" spans="1:187" x14ac:dyDescent="0.25">
      <c r="A626" s="160" t="s">
        <v>1294</v>
      </c>
      <c r="B626" s="18" t="s">
        <v>1241</v>
      </c>
      <c r="C626" s="110">
        <v>-39250</v>
      </c>
      <c r="D626" s="220" t="s">
        <v>1333</v>
      </c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>
        <v>39250</v>
      </c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</row>
    <row r="627" spans="1:187" x14ac:dyDescent="0.25">
      <c r="A627" s="160" t="s">
        <v>1294</v>
      </c>
      <c r="B627" s="18" t="s">
        <v>1302</v>
      </c>
      <c r="C627" s="110">
        <v>-15</v>
      </c>
      <c r="D627" s="220" t="s">
        <v>1334</v>
      </c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EK627" s="1">
        <v>15</v>
      </c>
    </row>
    <row r="628" spans="1:187" x14ac:dyDescent="0.25">
      <c r="A628" s="160" t="s">
        <v>1300</v>
      </c>
      <c r="B628" s="18" t="s">
        <v>462</v>
      </c>
      <c r="C628" s="110">
        <v>-20000</v>
      </c>
      <c r="D628" s="220" t="s">
        <v>1335</v>
      </c>
      <c r="S628" s="1">
        <v>20000</v>
      </c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</row>
    <row r="629" spans="1:187" x14ac:dyDescent="0.25">
      <c r="A629" s="160" t="s">
        <v>1300</v>
      </c>
      <c r="B629" s="18" t="s">
        <v>1301</v>
      </c>
      <c r="C629" s="110">
        <v>-2400</v>
      </c>
      <c r="D629" s="220" t="s">
        <v>1336</v>
      </c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CS629" s="1">
        <v>2400</v>
      </c>
    </row>
    <row r="630" spans="1:187" x14ac:dyDescent="0.25">
      <c r="A630" s="160" t="s">
        <v>1303</v>
      </c>
      <c r="B630" s="18" t="s">
        <v>1306</v>
      </c>
      <c r="C630" s="110">
        <f>-50000-5000</f>
        <v>-55000</v>
      </c>
      <c r="D630" s="220" t="s">
        <v>1337</v>
      </c>
      <c r="Z630" s="14"/>
      <c r="AA630" s="14"/>
      <c r="AB630" s="14"/>
      <c r="AC630" s="12">
        <v>55000</v>
      </c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</row>
    <row r="631" spans="1:187" x14ac:dyDescent="0.25">
      <c r="A631" s="160" t="s">
        <v>1303</v>
      </c>
      <c r="B631" s="18" t="s">
        <v>1305</v>
      </c>
      <c r="C631" s="1">
        <v>-100</v>
      </c>
      <c r="D631" s="220" t="s">
        <v>1338</v>
      </c>
      <c r="EY631" s="1">
        <v>100</v>
      </c>
    </row>
    <row r="632" spans="1:187" x14ac:dyDescent="0.25">
      <c r="A632" s="160" t="s">
        <v>1303</v>
      </c>
      <c r="B632" s="18" t="s">
        <v>1151</v>
      </c>
      <c r="C632" s="110">
        <v>-40</v>
      </c>
      <c r="D632" s="220" t="s">
        <v>1339</v>
      </c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EK632" s="1">
        <v>40</v>
      </c>
    </row>
    <row r="633" spans="1:187" x14ac:dyDescent="0.25">
      <c r="A633" s="160" t="s">
        <v>1303</v>
      </c>
      <c r="B633" s="18" t="s">
        <v>1304</v>
      </c>
      <c r="C633" s="110">
        <v>-30</v>
      </c>
      <c r="D633" s="220" t="s">
        <v>1340</v>
      </c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EK633" s="1">
        <v>30</v>
      </c>
    </row>
    <row r="634" spans="1:187" x14ac:dyDescent="0.25">
      <c r="A634" s="160" t="s">
        <v>1341</v>
      </c>
      <c r="B634" s="18" t="s">
        <v>1345</v>
      </c>
      <c r="C634" s="110">
        <v>500000</v>
      </c>
      <c r="D634" s="220" t="s">
        <v>1348</v>
      </c>
      <c r="H634" s="1">
        <v>500000</v>
      </c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</row>
    <row r="635" spans="1:187" x14ac:dyDescent="0.25">
      <c r="A635" s="160" t="s">
        <v>1341</v>
      </c>
      <c r="B635" s="18" t="s">
        <v>1347</v>
      </c>
      <c r="C635" s="110">
        <v>-50000</v>
      </c>
      <c r="D635" s="220" t="s">
        <v>1382</v>
      </c>
      <c r="Z635" s="14"/>
      <c r="AA635" s="14"/>
      <c r="AB635" s="14"/>
      <c r="AC635" s="12">
        <v>50000</v>
      </c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</row>
    <row r="636" spans="1:187" x14ac:dyDescent="0.25">
      <c r="A636" s="160" t="s">
        <v>1341</v>
      </c>
      <c r="B636" s="18" t="s">
        <v>1346</v>
      </c>
      <c r="C636" s="110">
        <v>-70</v>
      </c>
      <c r="D636" s="220" t="s">
        <v>1383</v>
      </c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EK636" s="1">
        <v>70</v>
      </c>
    </row>
    <row r="637" spans="1:187" x14ac:dyDescent="0.25">
      <c r="A637" s="160" t="s">
        <v>1341</v>
      </c>
      <c r="B637" s="18" t="s">
        <v>929</v>
      </c>
      <c r="C637" s="110">
        <v>-25000</v>
      </c>
      <c r="D637" s="220" t="s">
        <v>1384</v>
      </c>
      <c r="Z637" s="14"/>
      <c r="AA637" s="14"/>
      <c r="AB637" s="14"/>
      <c r="AC637" s="14"/>
      <c r="AD637" s="14"/>
      <c r="AE637" s="14"/>
      <c r="AF637" s="14"/>
      <c r="AG637" s="14"/>
      <c r="AH637" s="14">
        <v>25000</v>
      </c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</row>
    <row r="638" spans="1:187" x14ac:dyDescent="0.25">
      <c r="A638" s="160" t="s">
        <v>1341</v>
      </c>
      <c r="B638" s="18" t="s">
        <v>576</v>
      </c>
      <c r="C638" s="110">
        <v>-23</v>
      </c>
      <c r="D638" s="220" t="s">
        <v>1385</v>
      </c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EP638" s="1">
        <v>23</v>
      </c>
    </row>
    <row r="639" spans="1:187" x14ac:dyDescent="0.25">
      <c r="A639" s="160" t="s">
        <v>1341</v>
      </c>
      <c r="B639" s="18" t="s">
        <v>1349</v>
      </c>
      <c r="C639" s="110">
        <v>-50000</v>
      </c>
      <c r="D639" s="220" t="s">
        <v>1386</v>
      </c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">
        <v>50000</v>
      </c>
    </row>
    <row r="640" spans="1:187" s="3" customFormat="1" x14ac:dyDescent="0.25">
      <c r="A640" s="2"/>
      <c r="B640" s="85" t="s">
        <v>1350</v>
      </c>
      <c r="C640" s="2">
        <f>SUM(C489:C639)</f>
        <v>677029</v>
      </c>
      <c r="D640" s="243">
        <f t="shared" ref="D640:BS640" si="27">SUM(D489:D639)</f>
        <v>0</v>
      </c>
      <c r="E640" s="246"/>
      <c r="F640" s="259"/>
      <c r="G640" s="259"/>
      <c r="H640" s="243">
        <f t="shared" si="27"/>
        <v>4225000</v>
      </c>
      <c r="I640" s="243">
        <f t="shared" si="27"/>
        <v>8000</v>
      </c>
      <c r="J640" s="243">
        <f t="shared" si="27"/>
        <v>0</v>
      </c>
      <c r="K640" s="243">
        <f t="shared" si="27"/>
        <v>0</v>
      </c>
      <c r="L640" s="243">
        <f t="shared" si="27"/>
        <v>0</v>
      </c>
      <c r="M640" s="243">
        <f t="shared" si="27"/>
        <v>0</v>
      </c>
      <c r="N640" s="243">
        <f t="shared" si="27"/>
        <v>3000</v>
      </c>
      <c r="O640" s="243">
        <f t="shared" si="27"/>
        <v>1000</v>
      </c>
      <c r="P640" s="243">
        <f t="shared" si="27"/>
        <v>1000</v>
      </c>
      <c r="Q640" s="243">
        <f t="shared" si="27"/>
        <v>3000</v>
      </c>
      <c r="R640" s="243">
        <f t="shared" si="27"/>
        <v>2000</v>
      </c>
      <c r="S640" s="243">
        <f t="shared" si="27"/>
        <v>20000</v>
      </c>
      <c r="T640" s="243">
        <f t="shared" si="27"/>
        <v>0</v>
      </c>
      <c r="U640" s="243">
        <f t="shared" si="27"/>
        <v>0</v>
      </c>
      <c r="V640" s="243">
        <f t="shared" si="27"/>
        <v>6500</v>
      </c>
      <c r="W640" s="243">
        <f t="shared" si="27"/>
        <v>0</v>
      </c>
      <c r="X640" s="243"/>
      <c r="Y640" s="243">
        <f t="shared" si="27"/>
        <v>0</v>
      </c>
      <c r="Z640" s="243">
        <f t="shared" si="27"/>
        <v>0</v>
      </c>
      <c r="AA640" s="243">
        <f t="shared" si="27"/>
        <v>0</v>
      </c>
      <c r="AB640" s="243">
        <f t="shared" si="27"/>
        <v>24000</v>
      </c>
      <c r="AC640" s="243">
        <f t="shared" si="27"/>
        <v>604214</v>
      </c>
      <c r="AD640" s="243">
        <f t="shared" si="27"/>
        <v>15500</v>
      </c>
      <c r="AE640" s="243">
        <f t="shared" si="27"/>
        <v>0</v>
      </c>
      <c r="AF640" s="243">
        <f t="shared" si="27"/>
        <v>0</v>
      </c>
      <c r="AG640" s="243">
        <f t="shared" si="27"/>
        <v>600000</v>
      </c>
      <c r="AH640" s="243">
        <f t="shared" si="27"/>
        <v>515000</v>
      </c>
      <c r="AI640" s="243">
        <f t="shared" si="27"/>
        <v>18230</v>
      </c>
      <c r="AJ640" s="243">
        <f t="shared" si="27"/>
        <v>2000</v>
      </c>
      <c r="AK640" s="243">
        <f t="shared" si="27"/>
        <v>29000</v>
      </c>
      <c r="AL640" s="243">
        <f t="shared" si="27"/>
        <v>910500</v>
      </c>
      <c r="AM640" s="243">
        <f t="shared" si="27"/>
        <v>40000</v>
      </c>
      <c r="AN640" s="243">
        <f t="shared" si="27"/>
        <v>372000</v>
      </c>
      <c r="AO640" s="243">
        <f t="shared" si="27"/>
        <v>108088</v>
      </c>
      <c r="AP640" s="243">
        <f t="shared" si="27"/>
        <v>0</v>
      </c>
      <c r="AQ640" s="243">
        <f t="shared" si="27"/>
        <v>1455900</v>
      </c>
      <c r="AR640" s="243">
        <f t="shared" si="27"/>
        <v>0</v>
      </c>
      <c r="AS640" s="243">
        <f t="shared" si="27"/>
        <v>0</v>
      </c>
      <c r="AT640" s="243">
        <f t="shared" si="27"/>
        <v>0</v>
      </c>
      <c r="AU640" s="243">
        <f t="shared" si="27"/>
        <v>598000</v>
      </c>
      <c r="AV640" s="243">
        <f t="shared" si="27"/>
        <v>0</v>
      </c>
      <c r="AW640" s="243">
        <f t="shared" si="27"/>
        <v>78500</v>
      </c>
      <c r="AX640" s="243">
        <f t="shared" si="27"/>
        <v>0</v>
      </c>
      <c r="AY640" s="243">
        <f t="shared" si="27"/>
        <v>185000</v>
      </c>
      <c r="AZ640" s="243">
        <f t="shared" si="27"/>
        <v>0</v>
      </c>
      <c r="BA640" s="243">
        <f t="shared" si="27"/>
        <v>120000</v>
      </c>
      <c r="BB640" s="243">
        <f t="shared" si="27"/>
        <v>53500</v>
      </c>
      <c r="BC640" s="243">
        <f t="shared" si="27"/>
        <v>0</v>
      </c>
      <c r="BD640" s="243">
        <f t="shared" si="27"/>
        <v>997500</v>
      </c>
      <c r="BE640" s="243">
        <f t="shared" si="27"/>
        <v>22000</v>
      </c>
      <c r="BF640" s="243">
        <f t="shared" si="27"/>
        <v>127592</v>
      </c>
      <c r="BG640" s="243">
        <f t="shared" si="27"/>
        <v>230000</v>
      </c>
      <c r="BH640" s="243">
        <f t="shared" si="27"/>
        <v>50000</v>
      </c>
      <c r="BI640" s="243">
        <f t="shared" si="27"/>
        <v>0</v>
      </c>
      <c r="BJ640" s="243">
        <f t="shared" si="27"/>
        <v>0</v>
      </c>
      <c r="BK640" s="243">
        <f t="shared" si="27"/>
        <v>1400000</v>
      </c>
      <c r="BL640" s="243">
        <f t="shared" si="27"/>
        <v>500000</v>
      </c>
      <c r="BM640" s="243">
        <f t="shared" si="27"/>
        <v>500000</v>
      </c>
      <c r="BN640" s="243">
        <f t="shared" si="27"/>
        <v>0</v>
      </c>
      <c r="BO640" s="243">
        <f t="shared" si="27"/>
        <v>0</v>
      </c>
      <c r="BP640" s="243">
        <f t="shared" si="27"/>
        <v>0</v>
      </c>
      <c r="BQ640" s="243">
        <f t="shared" si="27"/>
        <v>0</v>
      </c>
      <c r="BR640" s="243">
        <f t="shared" si="27"/>
        <v>0</v>
      </c>
      <c r="BS640" s="243">
        <f t="shared" si="27"/>
        <v>0</v>
      </c>
      <c r="BT640" s="243">
        <f t="shared" ref="BT640:EJ640" si="28">SUM(BT489:BT639)</f>
        <v>0</v>
      </c>
      <c r="BU640" s="243">
        <f t="shared" si="28"/>
        <v>0</v>
      </c>
      <c r="BV640" s="243">
        <f t="shared" si="28"/>
        <v>0</v>
      </c>
      <c r="BW640" s="243">
        <f t="shared" si="28"/>
        <v>0</v>
      </c>
      <c r="BX640" s="243">
        <f t="shared" si="28"/>
        <v>0</v>
      </c>
      <c r="BY640" s="243">
        <f t="shared" si="28"/>
        <v>0</v>
      </c>
      <c r="BZ640" s="243">
        <f t="shared" si="28"/>
        <v>0</v>
      </c>
      <c r="CA640" s="243">
        <f t="shared" si="28"/>
        <v>0</v>
      </c>
      <c r="CB640" s="243">
        <f t="shared" si="28"/>
        <v>0</v>
      </c>
      <c r="CC640" s="243">
        <f t="shared" si="28"/>
        <v>0</v>
      </c>
      <c r="CD640" s="243">
        <f t="shared" si="28"/>
        <v>0</v>
      </c>
      <c r="CE640" s="243">
        <f t="shared" si="28"/>
        <v>0</v>
      </c>
      <c r="CF640" s="243">
        <f t="shared" si="28"/>
        <v>0</v>
      </c>
      <c r="CG640" s="243">
        <f t="shared" si="28"/>
        <v>0</v>
      </c>
      <c r="CH640" s="243">
        <f t="shared" si="28"/>
        <v>0</v>
      </c>
      <c r="CI640" s="243">
        <f t="shared" si="28"/>
        <v>0</v>
      </c>
      <c r="CJ640" s="243">
        <f t="shared" si="28"/>
        <v>0</v>
      </c>
      <c r="CK640" s="243">
        <f t="shared" si="28"/>
        <v>0</v>
      </c>
      <c r="CL640" s="243">
        <f t="shared" si="28"/>
        <v>0</v>
      </c>
      <c r="CM640" s="243">
        <f t="shared" si="28"/>
        <v>0</v>
      </c>
      <c r="CN640" s="243">
        <f t="shared" si="28"/>
        <v>0</v>
      </c>
      <c r="CO640" s="243">
        <f t="shared" si="28"/>
        <v>3180</v>
      </c>
      <c r="CP640" s="339"/>
      <c r="CQ640" s="348"/>
      <c r="CR640" s="243">
        <f t="shared" si="28"/>
        <v>60</v>
      </c>
      <c r="CS640" s="243">
        <f t="shared" si="28"/>
        <v>14400</v>
      </c>
      <c r="CT640" s="243">
        <f t="shared" si="28"/>
        <v>18502</v>
      </c>
      <c r="CU640" s="360"/>
      <c r="CV640" s="243">
        <f t="shared" si="28"/>
        <v>1498</v>
      </c>
      <c r="CW640" s="243">
        <f t="shared" si="28"/>
        <v>0</v>
      </c>
      <c r="CX640" s="243">
        <f t="shared" si="28"/>
        <v>0</v>
      </c>
      <c r="CY640" s="243">
        <f t="shared" si="28"/>
        <v>140</v>
      </c>
      <c r="CZ640" s="243">
        <f t="shared" si="28"/>
        <v>0</v>
      </c>
      <c r="DA640" s="243">
        <f t="shared" si="28"/>
        <v>0</v>
      </c>
      <c r="DB640" s="243">
        <f t="shared" si="28"/>
        <v>0</v>
      </c>
      <c r="DC640" s="243">
        <f t="shared" si="28"/>
        <v>459267</v>
      </c>
      <c r="DD640" s="243">
        <f t="shared" si="28"/>
        <v>0</v>
      </c>
      <c r="DE640" s="243">
        <f t="shared" si="28"/>
        <v>0</v>
      </c>
      <c r="DF640" s="243">
        <f t="shared" si="28"/>
        <v>104</v>
      </c>
      <c r="DG640" s="243">
        <f t="shared" si="28"/>
        <v>0</v>
      </c>
      <c r="DH640" s="355"/>
      <c r="DI640" s="243">
        <f t="shared" si="28"/>
        <v>140000</v>
      </c>
      <c r="DJ640" s="243">
        <f t="shared" si="28"/>
        <v>0</v>
      </c>
      <c r="DK640" s="243">
        <f t="shared" si="28"/>
        <v>199790</v>
      </c>
      <c r="DL640" s="243">
        <f t="shared" si="28"/>
        <v>157680</v>
      </c>
      <c r="DM640" s="243">
        <f t="shared" si="28"/>
        <v>53700</v>
      </c>
      <c r="DN640" s="243">
        <f t="shared" si="28"/>
        <v>27500</v>
      </c>
      <c r="DO640" s="243">
        <f t="shared" si="28"/>
        <v>355600</v>
      </c>
      <c r="DP640" s="243">
        <f t="shared" si="28"/>
        <v>0</v>
      </c>
      <c r="DQ640" s="243">
        <f t="shared" si="28"/>
        <v>0</v>
      </c>
      <c r="DR640" s="243">
        <f t="shared" si="28"/>
        <v>0</v>
      </c>
      <c r="DS640" s="243">
        <f t="shared" si="28"/>
        <v>0</v>
      </c>
      <c r="DT640" s="243">
        <f t="shared" si="28"/>
        <v>0</v>
      </c>
      <c r="DU640" s="243">
        <f t="shared" si="28"/>
        <v>0</v>
      </c>
      <c r="DV640" s="243">
        <f t="shared" si="28"/>
        <v>0</v>
      </c>
      <c r="DW640" s="243">
        <f t="shared" si="28"/>
        <v>28500</v>
      </c>
      <c r="DX640" s="243">
        <f t="shared" si="28"/>
        <v>0</v>
      </c>
      <c r="DY640" s="243">
        <f t="shared" si="28"/>
        <v>0</v>
      </c>
      <c r="DZ640" s="243">
        <f t="shared" si="28"/>
        <v>25000</v>
      </c>
      <c r="EA640" s="243"/>
      <c r="EB640" s="243">
        <f t="shared" si="28"/>
        <v>0</v>
      </c>
      <c r="EC640" s="243">
        <f t="shared" si="28"/>
        <v>0</v>
      </c>
      <c r="ED640" s="243">
        <f t="shared" si="28"/>
        <v>0</v>
      </c>
      <c r="EE640" s="243">
        <f t="shared" si="28"/>
        <v>0</v>
      </c>
      <c r="EF640" s="243">
        <f t="shared" si="28"/>
        <v>0</v>
      </c>
      <c r="EG640" s="243">
        <f t="shared" si="28"/>
        <v>115</v>
      </c>
      <c r="EH640" s="243">
        <f t="shared" si="28"/>
        <v>100</v>
      </c>
      <c r="EI640" s="243">
        <f t="shared" si="28"/>
        <v>0</v>
      </c>
      <c r="EJ640" s="243">
        <f t="shared" si="28"/>
        <v>9500</v>
      </c>
      <c r="EK640" s="243">
        <f t="shared" ref="EK640:GD640" si="29">SUM(EK489:EK639)</f>
        <v>11380</v>
      </c>
      <c r="EL640" s="243">
        <f t="shared" si="29"/>
        <v>7150</v>
      </c>
      <c r="EM640" s="243">
        <f t="shared" si="29"/>
        <v>1400</v>
      </c>
      <c r="EN640" s="243">
        <f t="shared" si="29"/>
        <v>0</v>
      </c>
      <c r="EO640" s="243">
        <f t="shared" si="29"/>
        <v>0</v>
      </c>
      <c r="EP640" s="243">
        <f t="shared" si="29"/>
        <v>289</v>
      </c>
      <c r="EQ640" s="243">
        <f t="shared" si="29"/>
        <v>1500</v>
      </c>
      <c r="ER640" s="243">
        <f t="shared" si="29"/>
        <v>0</v>
      </c>
      <c r="ES640" s="243">
        <f t="shared" si="29"/>
        <v>36530</v>
      </c>
      <c r="ET640" s="243">
        <f t="shared" si="29"/>
        <v>0</v>
      </c>
      <c r="EU640" s="243">
        <f t="shared" si="29"/>
        <v>30400</v>
      </c>
      <c r="EV640" s="243">
        <f t="shared" si="29"/>
        <v>0</v>
      </c>
      <c r="EW640" s="243">
        <f t="shared" si="29"/>
        <v>0</v>
      </c>
      <c r="EX640" s="243">
        <f t="shared" si="29"/>
        <v>0</v>
      </c>
      <c r="EY640" s="243">
        <f t="shared" si="29"/>
        <v>580</v>
      </c>
      <c r="EZ640" s="243">
        <f t="shared" si="29"/>
        <v>0</v>
      </c>
      <c r="FA640" s="243">
        <f t="shared" si="29"/>
        <v>28010</v>
      </c>
      <c r="FB640" s="243">
        <f t="shared" si="29"/>
        <v>33730</v>
      </c>
      <c r="FC640" s="243">
        <f t="shared" si="29"/>
        <v>129223</v>
      </c>
      <c r="FD640" s="243">
        <f t="shared" si="29"/>
        <v>0</v>
      </c>
      <c r="FE640" s="243">
        <f t="shared" si="29"/>
        <v>35021</v>
      </c>
      <c r="FF640" s="243">
        <f t="shared" si="29"/>
        <v>0</v>
      </c>
      <c r="FG640" s="243">
        <f t="shared" si="29"/>
        <v>0</v>
      </c>
      <c r="FH640" s="243">
        <f t="shared" si="29"/>
        <v>0</v>
      </c>
      <c r="FI640" s="243">
        <f t="shared" si="29"/>
        <v>0</v>
      </c>
      <c r="FJ640" s="243">
        <f t="shared" si="29"/>
        <v>11000</v>
      </c>
      <c r="FK640" s="243">
        <f t="shared" si="29"/>
        <v>800</v>
      </c>
      <c r="FL640" s="243">
        <f t="shared" si="29"/>
        <v>3040</v>
      </c>
      <c r="FM640" s="243">
        <f t="shared" si="29"/>
        <v>0</v>
      </c>
      <c r="FN640" s="243">
        <f t="shared" si="29"/>
        <v>0</v>
      </c>
      <c r="FO640" s="243">
        <f t="shared" si="29"/>
        <v>0</v>
      </c>
      <c r="FP640" s="243">
        <f t="shared" si="29"/>
        <v>12000</v>
      </c>
      <c r="FQ640" s="243">
        <f t="shared" si="29"/>
        <v>2070</v>
      </c>
      <c r="FR640" s="243">
        <f t="shared" si="29"/>
        <v>0</v>
      </c>
      <c r="FS640" s="243">
        <f t="shared" si="29"/>
        <v>0</v>
      </c>
      <c r="FT640" s="243">
        <f t="shared" si="29"/>
        <v>0</v>
      </c>
      <c r="FU640" s="243">
        <f t="shared" si="29"/>
        <v>0</v>
      </c>
      <c r="FV640" s="243">
        <f t="shared" si="29"/>
        <v>0</v>
      </c>
      <c r="FW640" s="243">
        <f t="shared" si="29"/>
        <v>0</v>
      </c>
      <c r="FX640" s="243">
        <f t="shared" si="29"/>
        <v>0</v>
      </c>
      <c r="FY640" s="243">
        <f t="shared" si="29"/>
        <v>49000</v>
      </c>
      <c r="FZ640" s="243">
        <f t="shared" si="29"/>
        <v>3040</v>
      </c>
      <c r="GA640" s="243">
        <f t="shared" si="29"/>
        <v>10000</v>
      </c>
      <c r="GB640" s="243">
        <f t="shared" si="29"/>
        <v>9267</v>
      </c>
      <c r="GC640" s="243">
        <f t="shared" si="29"/>
        <v>0</v>
      </c>
      <c r="GD640" s="243">
        <f t="shared" si="29"/>
        <v>3197500</v>
      </c>
      <c r="GE640" s="279"/>
    </row>
    <row r="641" spans="1:199" x14ac:dyDescent="0.25">
      <c r="C641" s="2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</row>
    <row r="642" spans="1:199" x14ac:dyDescent="0.25">
      <c r="C642" s="2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</row>
    <row r="643" spans="1:199" x14ac:dyDescent="0.25">
      <c r="H643" s="8"/>
      <c r="I643" s="378" t="s">
        <v>205</v>
      </c>
      <c r="J643" s="378"/>
      <c r="K643" s="378"/>
      <c r="L643" s="378"/>
      <c r="M643" s="378"/>
      <c r="N643" s="378"/>
      <c r="O643" s="378"/>
      <c r="P643" s="378"/>
      <c r="Q643" s="378"/>
      <c r="R643" s="378"/>
      <c r="S643" s="378"/>
      <c r="T643" s="378"/>
      <c r="U643" s="378"/>
      <c r="V643" s="378"/>
      <c r="W643" s="378"/>
      <c r="X643" s="378"/>
      <c r="Y643" s="378"/>
      <c r="Z643" s="378" t="s">
        <v>90</v>
      </c>
      <c r="AA643" s="378"/>
      <c r="AB643" s="378"/>
      <c r="AC643" s="378"/>
      <c r="AD643" s="378"/>
      <c r="AE643" s="378"/>
      <c r="AF643" s="378"/>
      <c r="AG643" s="378"/>
      <c r="AH643" s="378"/>
      <c r="AI643" s="378"/>
      <c r="AJ643" s="378"/>
      <c r="AK643" s="378"/>
      <c r="AL643" s="378"/>
      <c r="AM643" s="378"/>
      <c r="AN643" s="378"/>
      <c r="AO643" s="378"/>
      <c r="AP643" s="378"/>
      <c r="AQ643" s="378"/>
      <c r="AR643" s="378"/>
      <c r="AS643" s="378"/>
      <c r="AT643" s="378"/>
      <c r="AU643" s="378"/>
      <c r="AV643" s="378"/>
      <c r="AW643" s="378"/>
      <c r="AX643" s="378"/>
      <c r="AY643" s="378"/>
      <c r="AZ643" s="378"/>
      <c r="BA643" s="378"/>
      <c r="BB643" s="378"/>
      <c r="BC643" s="378"/>
      <c r="BD643" s="378"/>
      <c r="BE643" s="378"/>
      <c r="BF643" s="378"/>
      <c r="BG643" s="378"/>
      <c r="BH643" s="378"/>
      <c r="BI643" s="378" t="s">
        <v>77</v>
      </c>
      <c r="BJ643" s="378"/>
      <c r="BK643" s="378"/>
      <c r="BL643" s="378"/>
      <c r="BM643" s="378"/>
      <c r="BN643" s="378" t="s">
        <v>65</v>
      </c>
      <c r="BO643" s="378"/>
      <c r="BP643" s="378"/>
      <c r="BQ643" s="378" t="s">
        <v>15</v>
      </c>
      <c r="BR643" s="378"/>
      <c r="BS643" s="378"/>
      <c r="BT643" s="378"/>
      <c r="BU643" s="378"/>
      <c r="BV643" s="378"/>
      <c r="BW643" s="378"/>
      <c r="BX643" s="378"/>
      <c r="BY643" s="378"/>
      <c r="BZ643" s="378"/>
      <c r="CA643" s="378"/>
      <c r="CB643" s="378"/>
      <c r="CC643" s="378"/>
      <c r="CD643" s="378"/>
      <c r="CE643" s="378" t="s">
        <v>4</v>
      </c>
      <c r="CF643" s="378"/>
      <c r="CG643" s="378"/>
      <c r="CH643" s="378"/>
      <c r="CI643" s="378"/>
      <c r="CJ643" s="378"/>
      <c r="CK643" s="378"/>
      <c r="CL643" s="378"/>
      <c r="CM643" s="378"/>
      <c r="CN643" s="378"/>
      <c r="CO643" s="378" t="s">
        <v>21</v>
      </c>
      <c r="CP643" s="378"/>
      <c r="CQ643" s="378"/>
      <c r="CR643" s="378"/>
      <c r="CS643" s="378"/>
      <c r="CT643" s="378"/>
      <c r="CU643" s="378"/>
      <c r="CV643" s="378"/>
      <c r="CW643" s="378"/>
      <c r="CX643" s="378"/>
      <c r="CY643" s="378"/>
      <c r="CZ643" s="378"/>
      <c r="DA643" s="378"/>
      <c r="DB643" s="378"/>
      <c r="DC643" s="378"/>
      <c r="DD643" s="378"/>
      <c r="DE643" s="378"/>
      <c r="DF643" s="378"/>
      <c r="DG643" s="378"/>
      <c r="DH643" s="378"/>
      <c r="DI643" s="378"/>
      <c r="DK643" s="151"/>
      <c r="DL643" s="151"/>
      <c r="DM643" s="151"/>
      <c r="DN643" s="151"/>
      <c r="DO643" s="151"/>
      <c r="DP643" s="374" t="s">
        <v>317</v>
      </c>
      <c r="DQ643" s="374"/>
      <c r="DR643" s="374"/>
      <c r="DS643" s="374"/>
      <c r="DT643" s="374"/>
      <c r="DU643" s="374"/>
      <c r="DV643" s="374"/>
      <c r="DW643" s="374"/>
      <c r="DX643" s="374"/>
      <c r="DY643" s="374"/>
      <c r="DZ643" s="374"/>
      <c r="EA643" s="374"/>
      <c r="EB643" s="374"/>
      <c r="EC643" s="374"/>
      <c r="ED643" s="374"/>
      <c r="EE643" s="374"/>
      <c r="EF643" s="374"/>
      <c r="EG643" s="374"/>
      <c r="EH643" s="374"/>
      <c r="EI643" s="374"/>
      <c r="EJ643" s="374"/>
      <c r="EK643" s="374"/>
      <c r="EL643" s="374"/>
      <c r="EM643" s="374"/>
      <c r="EN643" s="374"/>
      <c r="EO643" s="374"/>
      <c r="EP643" s="374"/>
      <c r="EQ643" s="374"/>
      <c r="ER643" s="374"/>
      <c r="ES643" s="374"/>
      <c r="ET643" s="374"/>
      <c r="EU643" s="374"/>
      <c r="EV643" s="374"/>
      <c r="EW643" s="374"/>
      <c r="EX643" s="374"/>
      <c r="EY643" s="374"/>
      <c r="EZ643" s="374"/>
      <c r="FA643" s="374"/>
      <c r="FB643" s="374"/>
      <c r="FC643" s="374"/>
      <c r="FD643" s="374"/>
      <c r="FE643" s="374"/>
      <c r="FF643" s="374"/>
      <c r="FG643" s="374"/>
      <c r="FH643" s="374"/>
      <c r="FI643" s="374"/>
      <c r="FJ643" s="374"/>
      <c r="FK643" s="374"/>
      <c r="FL643" s="374"/>
      <c r="FM643" s="374"/>
      <c r="FN643" s="374"/>
      <c r="FO643" s="374"/>
      <c r="FP643" s="374"/>
      <c r="FQ643" s="374"/>
      <c r="FR643" s="374"/>
      <c r="FS643" s="374"/>
      <c r="FT643" s="374"/>
      <c r="FU643" s="374"/>
      <c r="FV643" s="374"/>
      <c r="FW643" s="374"/>
      <c r="FX643" s="374"/>
      <c r="FY643" s="152"/>
      <c r="FZ643" s="152"/>
      <c r="GA643" s="185"/>
      <c r="GB643" s="185"/>
      <c r="GC643" s="191"/>
      <c r="GD643" s="58"/>
      <c r="GE643" s="58"/>
    </row>
    <row r="644" spans="1:199" s="151" customFormat="1" x14ac:dyDescent="0.25">
      <c r="A644" s="195" t="s">
        <v>0</v>
      </c>
      <c r="B644" s="18" t="s">
        <v>5</v>
      </c>
      <c r="C644" s="151" t="s">
        <v>89</v>
      </c>
      <c r="D644" s="220" t="s">
        <v>95</v>
      </c>
      <c r="E644" s="247"/>
      <c r="F644" s="260"/>
      <c r="G644" s="260"/>
      <c r="H644" s="151" t="s">
        <v>28</v>
      </c>
      <c r="I644" s="214" t="s">
        <v>382</v>
      </c>
      <c r="J644" s="214" t="s">
        <v>2044</v>
      </c>
      <c r="K644" s="214" t="s">
        <v>2045</v>
      </c>
      <c r="L644" s="214" t="s">
        <v>2046</v>
      </c>
      <c r="M644" s="214" t="s">
        <v>1548</v>
      </c>
      <c r="N644" s="214" t="s">
        <v>1658</v>
      </c>
      <c r="O644" s="214" t="s">
        <v>1660</v>
      </c>
      <c r="P644" s="214" t="s">
        <v>1659</v>
      </c>
      <c r="Q644" s="214" t="s">
        <v>705</v>
      </c>
      <c r="R644" s="214" t="s">
        <v>1661</v>
      </c>
      <c r="S644" s="214" t="s">
        <v>93</v>
      </c>
      <c r="T644" s="214" t="s">
        <v>567</v>
      </c>
      <c r="U644" s="214" t="s">
        <v>1368</v>
      </c>
      <c r="V644" s="214" t="s">
        <v>353</v>
      </c>
      <c r="W644" s="214" t="s">
        <v>206</v>
      </c>
      <c r="X644" s="240" t="s">
        <v>2204</v>
      </c>
      <c r="Y644" s="214" t="s">
        <v>207</v>
      </c>
      <c r="Z644" s="151" t="s">
        <v>91</v>
      </c>
      <c r="AA644" s="151" t="s">
        <v>261</v>
      </c>
      <c r="AB644" s="151" t="s">
        <v>606</v>
      </c>
      <c r="AC644" s="151" t="s">
        <v>938</v>
      </c>
      <c r="AD644" s="151" t="s">
        <v>674</v>
      </c>
      <c r="AE644" s="175" t="s">
        <v>1565</v>
      </c>
      <c r="AF644" s="163" t="s">
        <v>1507</v>
      </c>
      <c r="AG644" s="151" t="s">
        <v>531</v>
      </c>
      <c r="AH644" s="151" t="s">
        <v>541</v>
      </c>
      <c r="AI644" s="151" t="s">
        <v>382</v>
      </c>
      <c r="AJ644" s="151" t="s">
        <v>708</v>
      </c>
      <c r="AK644" s="151" t="s">
        <v>553</v>
      </c>
      <c r="AL644" s="151" t="s">
        <v>93</v>
      </c>
      <c r="AM644" s="151" t="s">
        <v>632</v>
      </c>
      <c r="AN644" s="240" t="s">
        <v>2191</v>
      </c>
      <c r="AO644" s="151" t="s">
        <v>931</v>
      </c>
      <c r="AP644" s="175" t="s">
        <v>1566</v>
      </c>
      <c r="AQ644" s="151" t="s">
        <v>635</v>
      </c>
      <c r="AR644" s="156" t="s">
        <v>1425</v>
      </c>
      <c r="AS644" s="167" t="s">
        <v>1530</v>
      </c>
      <c r="AT644" s="192" t="s">
        <v>1732</v>
      </c>
      <c r="AU644" s="151" t="s">
        <v>895</v>
      </c>
      <c r="AV644" s="158" t="s">
        <v>1459</v>
      </c>
      <c r="AW644" s="151" t="s">
        <v>1240</v>
      </c>
      <c r="AX644" s="163" t="s">
        <v>1505</v>
      </c>
      <c r="AY644" s="151" t="s">
        <v>556</v>
      </c>
      <c r="AZ644" s="156" t="s">
        <v>1434</v>
      </c>
      <c r="BA644" s="151" t="s">
        <v>640</v>
      </c>
      <c r="BB644" s="151" t="s">
        <v>552</v>
      </c>
      <c r="BC644" s="151" t="s">
        <v>565</v>
      </c>
      <c r="BD644" s="151" t="s">
        <v>597</v>
      </c>
      <c r="BE644" s="151" t="s">
        <v>488</v>
      </c>
      <c r="BF644" s="151" t="s">
        <v>1247</v>
      </c>
      <c r="BG644" s="151" t="s">
        <v>242</v>
      </c>
      <c r="BH644" s="151" t="s">
        <v>92</v>
      </c>
      <c r="BI644" s="151" t="s">
        <v>80</v>
      </c>
      <c r="BJ644" s="156" t="s">
        <v>1430</v>
      </c>
      <c r="BK644" s="151" t="s">
        <v>256</v>
      </c>
      <c r="BL644" s="151" t="s">
        <v>673</v>
      </c>
      <c r="BM644" s="151" t="s">
        <v>81</v>
      </c>
      <c r="BN644" s="151" t="s">
        <v>80</v>
      </c>
      <c r="BO644" s="156" t="s">
        <v>1430</v>
      </c>
      <c r="BP644" s="151" t="s">
        <v>81</v>
      </c>
      <c r="BQ644" s="151" t="s">
        <v>226</v>
      </c>
      <c r="BR644" s="151" t="s">
        <v>69</v>
      </c>
      <c r="BS644" s="151" t="s">
        <v>84</v>
      </c>
      <c r="BT644" s="151" t="s">
        <v>76</v>
      </c>
      <c r="BU644" s="151" t="s">
        <v>38</v>
      </c>
      <c r="BV644" s="151" t="s">
        <v>271</v>
      </c>
      <c r="BW644" s="151" t="s">
        <v>34</v>
      </c>
      <c r="BX644" s="151" t="s">
        <v>35</v>
      </c>
      <c r="BY644" s="151" t="s">
        <v>6</v>
      </c>
      <c r="BZ644" s="151" t="s">
        <v>82</v>
      </c>
      <c r="CA644" s="151" t="s">
        <v>63</v>
      </c>
      <c r="CB644" s="151" t="s">
        <v>68</v>
      </c>
      <c r="CC644" s="151" t="s">
        <v>221</v>
      </c>
      <c r="CD644" s="151" t="s">
        <v>83</v>
      </c>
      <c r="CE644" s="151" t="s">
        <v>37</v>
      </c>
      <c r="CF644" s="151" t="s">
        <v>74</v>
      </c>
      <c r="CG644" s="151" t="s">
        <v>39</v>
      </c>
      <c r="CH644" s="151" t="s">
        <v>6</v>
      </c>
      <c r="CI644" s="151" t="s">
        <v>38</v>
      </c>
      <c r="CJ644" s="151" t="s">
        <v>78</v>
      </c>
      <c r="CK644" s="151" t="s">
        <v>79</v>
      </c>
      <c r="CL644" s="151" t="s">
        <v>59</v>
      </c>
      <c r="CM644" s="151" t="s">
        <v>36</v>
      </c>
      <c r="CN644" s="151" t="s">
        <v>63</v>
      </c>
      <c r="CO644" s="151" t="s">
        <v>38</v>
      </c>
      <c r="CP644" s="338"/>
      <c r="CQ644" s="347"/>
      <c r="CR644" s="151" t="s">
        <v>6</v>
      </c>
      <c r="CS644" s="151" t="s">
        <v>37</v>
      </c>
      <c r="CT644" s="151" t="s">
        <v>1186</v>
      </c>
      <c r="CU644" s="359"/>
      <c r="CV644" s="151" t="s">
        <v>1189</v>
      </c>
      <c r="CW644" s="151" t="s">
        <v>39</v>
      </c>
      <c r="CX644" s="168" t="s">
        <v>690</v>
      </c>
      <c r="CY644" s="151" t="s">
        <v>19</v>
      </c>
      <c r="CZ644" s="230" t="s">
        <v>2125</v>
      </c>
      <c r="DA644" s="151" t="s">
        <v>68</v>
      </c>
      <c r="DB644" s="151" t="s">
        <v>323</v>
      </c>
      <c r="DC644" s="151" t="s">
        <v>69</v>
      </c>
      <c r="DD644" s="197" t="s">
        <v>1776</v>
      </c>
      <c r="DE644" s="220" t="s">
        <v>2065</v>
      </c>
      <c r="DF644" s="151" t="s">
        <v>377</v>
      </c>
      <c r="DG644" s="163" t="s">
        <v>1514</v>
      </c>
      <c r="DH644" s="354"/>
      <c r="DI644" s="151" t="s">
        <v>62</v>
      </c>
      <c r="DJ644" s="8" t="s">
        <v>392</v>
      </c>
      <c r="DK644" s="240" t="s">
        <v>2190</v>
      </c>
      <c r="DL644" s="151" t="s">
        <v>604</v>
      </c>
      <c r="DM644" s="151" t="s">
        <v>1132</v>
      </c>
      <c r="DN644" s="151" t="s">
        <v>1248</v>
      </c>
      <c r="DO644" s="151" t="s">
        <v>634</v>
      </c>
      <c r="DP644" s="151" t="s">
        <v>306</v>
      </c>
      <c r="DQ644" s="151" t="s">
        <v>896</v>
      </c>
      <c r="DR644" s="66" t="s">
        <v>307</v>
      </c>
      <c r="DS644" s="238" t="s">
        <v>2141</v>
      </c>
      <c r="DT644" s="238" t="s">
        <v>2142</v>
      </c>
      <c r="DU644" s="238" t="s">
        <v>2143</v>
      </c>
      <c r="DV644" s="151" t="s">
        <v>69</v>
      </c>
      <c r="DW644" s="186" t="s">
        <v>1672</v>
      </c>
      <c r="DX644" s="151" t="s">
        <v>84</v>
      </c>
      <c r="DY644" s="151" t="s">
        <v>712</v>
      </c>
      <c r="DZ644" s="151" t="s">
        <v>710</v>
      </c>
      <c r="EA644" s="240" t="s">
        <v>2203</v>
      </c>
      <c r="EB644" s="223" t="s">
        <v>2093</v>
      </c>
      <c r="EC644" s="151" t="s">
        <v>1289</v>
      </c>
      <c r="ED644" s="151" t="s">
        <v>902</v>
      </c>
      <c r="EE644" s="151" t="s">
        <v>888</v>
      </c>
      <c r="EF644" s="151" t="s">
        <v>624</v>
      </c>
      <c r="EG644" s="151" t="s">
        <v>699</v>
      </c>
      <c r="EH644" s="151" t="s">
        <v>37</v>
      </c>
      <c r="EI644" s="223" t="s">
        <v>2089</v>
      </c>
      <c r="EJ644" s="151" t="s">
        <v>76</v>
      </c>
      <c r="EK644" s="151" t="s">
        <v>38</v>
      </c>
      <c r="EL644" s="151" t="s">
        <v>611</v>
      </c>
      <c r="EM644" s="151" t="s">
        <v>612</v>
      </c>
      <c r="EN644" s="151" t="s">
        <v>613</v>
      </c>
      <c r="EO644" s="151" t="s">
        <v>620</v>
      </c>
      <c r="EP644" s="151" t="s">
        <v>377</v>
      </c>
      <c r="EQ644" s="151" t="s">
        <v>271</v>
      </c>
      <c r="ER644" s="151" t="s">
        <v>34</v>
      </c>
      <c r="ES644" s="151" t="s">
        <v>35</v>
      </c>
      <c r="ET644" s="151" t="s">
        <v>713</v>
      </c>
      <c r="EU644" s="151" t="s">
        <v>621</v>
      </c>
      <c r="EV644" s="151" t="s">
        <v>622</v>
      </c>
      <c r="EW644" s="151" t="s">
        <v>623</v>
      </c>
      <c r="EX644" s="214" t="s">
        <v>2047</v>
      </c>
      <c r="EY644" s="151" t="s">
        <v>6</v>
      </c>
      <c r="EZ644" s="151" t="s">
        <v>603</v>
      </c>
      <c r="FA644" s="151" t="s">
        <v>618</v>
      </c>
      <c r="FB644" s="151" t="s">
        <v>1249</v>
      </c>
      <c r="FC644" s="151" t="s">
        <v>82</v>
      </c>
      <c r="FD644" s="151" t="s">
        <v>489</v>
      </c>
      <c r="FE644" s="151" t="s">
        <v>63</v>
      </c>
      <c r="FF644" s="151" t="s">
        <v>68</v>
      </c>
      <c r="FG644" s="151" t="s">
        <v>442</v>
      </c>
      <c r="FH644" s="154" t="s">
        <v>1371</v>
      </c>
      <c r="FI644" s="178" t="s">
        <v>1593</v>
      </c>
      <c r="FJ644" s="151" t="s">
        <v>221</v>
      </c>
      <c r="FK644" s="151" t="s">
        <v>83</v>
      </c>
      <c r="FL644" s="151" t="s">
        <v>19</v>
      </c>
      <c r="FM644" s="151" t="s">
        <v>648</v>
      </c>
      <c r="FN644" s="151" t="s">
        <v>649</v>
      </c>
      <c r="FO644" s="151" t="s">
        <v>650</v>
      </c>
      <c r="FP644" s="151" t="s">
        <v>962</v>
      </c>
      <c r="FQ644" s="151" t="s">
        <v>470</v>
      </c>
      <c r="FR644" s="151" t="s">
        <v>363</v>
      </c>
      <c r="FS644" s="151" t="s">
        <v>489</v>
      </c>
      <c r="FT644" s="151" t="s">
        <v>676</v>
      </c>
      <c r="FU644" s="151" t="s">
        <v>490</v>
      </c>
      <c r="FV644" s="151" t="s">
        <v>596</v>
      </c>
      <c r="FW644" s="151" t="s">
        <v>417</v>
      </c>
      <c r="FX644" s="151" t="s">
        <v>472</v>
      </c>
      <c r="FY644" s="151" t="s">
        <v>933</v>
      </c>
      <c r="FZ644" s="151" t="s">
        <v>1293</v>
      </c>
      <c r="GA644" s="184" t="s">
        <v>1654</v>
      </c>
      <c r="GB644" s="184" t="s">
        <v>1655</v>
      </c>
      <c r="GC644" s="190" t="s">
        <v>1726</v>
      </c>
      <c r="GD644" s="151" t="s">
        <v>566</v>
      </c>
      <c r="GE644" s="277"/>
      <c r="GG644" s="366"/>
      <c r="GH644" s="294"/>
      <c r="GI644" s="277"/>
      <c r="GQ644" s="314"/>
    </row>
    <row r="645" spans="1:199" x14ac:dyDescent="0.25">
      <c r="A645" s="195" t="s">
        <v>1351</v>
      </c>
      <c r="B645" s="18" t="s">
        <v>1352</v>
      </c>
      <c r="C645" s="24">
        <f>C640</f>
        <v>677029</v>
      </c>
      <c r="I645" s="1">
        <f>I640</f>
        <v>8000</v>
      </c>
      <c r="S645" s="1">
        <f>S640</f>
        <v>20000</v>
      </c>
      <c r="T645" s="1">
        <f>T640</f>
        <v>0</v>
      </c>
      <c r="V645" s="1">
        <f>V640</f>
        <v>6500</v>
      </c>
      <c r="Y645" s="1">
        <f>Y640</f>
        <v>0</v>
      </c>
      <c r="Z645" s="14"/>
      <c r="AA645" s="14"/>
      <c r="AB645" s="14">
        <f t="shared" ref="AB645:BH645" si="30">AB640</f>
        <v>24000</v>
      </c>
      <c r="AC645" s="14">
        <f t="shared" si="30"/>
        <v>604214</v>
      </c>
      <c r="AD645" s="14">
        <f t="shared" si="30"/>
        <v>15500</v>
      </c>
      <c r="AE645" s="14"/>
      <c r="AF645" s="14"/>
      <c r="AG645" s="14">
        <f t="shared" si="30"/>
        <v>600000</v>
      </c>
      <c r="AH645" s="14">
        <f t="shared" si="30"/>
        <v>515000</v>
      </c>
      <c r="AI645" s="14">
        <f t="shared" si="30"/>
        <v>18230</v>
      </c>
      <c r="AJ645" s="14">
        <f t="shared" si="30"/>
        <v>2000</v>
      </c>
      <c r="AK645" s="14">
        <f t="shared" si="30"/>
        <v>29000</v>
      </c>
      <c r="AL645" s="14">
        <f t="shared" si="30"/>
        <v>910500</v>
      </c>
      <c r="AM645" s="14">
        <f t="shared" si="30"/>
        <v>40000</v>
      </c>
      <c r="AN645" s="14">
        <f t="shared" si="30"/>
        <v>372000</v>
      </c>
      <c r="AO645" s="14">
        <f t="shared" si="30"/>
        <v>108088</v>
      </c>
      <c r="AP645" s="14"/>
      <c r="AQ645" s="14">
        <f t="shared" si="30"/>
        <v>1455900</v>
      </c>
      <c r="AR645" s="14"/>
      <c r="AS645" s="14"/>
      <c r="AT645" s="14"/>
      <c r="AU645" s="14">
        <f t="shared" si="30"/>
        <v>598000</v>
      </c>
      <c r="AV645" s="14"/>
      <c r="AW645" s="14">
        <f t="shared" si="30"/>
        <v>78500</v>
      </c>
      <c r="AX645" s="14"/>
      <c r="AY645" s="14">
        <f t="shared" si="30"/>
        <v>185000</v>
      </c>
      <c r="AZ645" s="14"/>
      <c r="BA645" s="14">
        <f t="shared" si="30"/>
        <v>120000</v>
      </c>
      <c r="BB645" s="14">
        <f t="shared" si="30"/>
        <v>53500</v>
      </c>
      <c r="BC645" s="14">
        <f t="shared" si="30"/>
        <v>0</v>
      </c>
      <c r="BD645" s="14">
        <f t="shared" si="30"/>
        <v>997500</v>
      </c>
      <c r="BE645" s="14">
        <f t="shared" si="30"/>
        <v>22000</v>
      </c>
      <c r="BF645" s="14">
        <f t="shared" si="30"/>
        <v>127592</v>
      </c>
      <c r="BG645" s="14">
        <f t="shared" si="30"/>
        <v>230000</v>
      </c>
      <c r="BH645" s="1">
        <f t="shared" si="30"/>
        <v>50000</v>
      </c>
      <c r="BK645" s="1">
        <f>BK640</f>
        <v>1400000</v>
      </c>
      <c r="BL645" s="1">
        <f>BL640</f>
        <v>500000</v>
      </c>
      <c r="BM645" s="1">
        <f>BM640</f>
        <v>500000</v>
      </c>
      <c r="DK645" s="1">
        <f>DK640</f>
        <v>199790</v>
      </c>
      <c r="DL645" s="1">
        <f>DL640</f>
        <v>157680</v>
      </c>
      <c r="DM645" s="1">
        <f>DM640</f>
        <v>53700</v>
      </c>
      <c r="DN645" s="1">
        <f>DN640</f>
        <v>27500</v>
      </c>
      <c r="DO645" s="1">
        <f>DO640</f>
        <v>355600</v>
      </c>
      <c r="GD645" s="1">
        <f>GD640</f>
        <v>3197500</v>
      </c>
    </row>
    <row r="646" spans="1:199" x14ac:dyDescent="0.25">
      <c r="A646" s="195" t="s">
        <v>1353</v>
      </c>
      <c r="B646" s="18" t="s">
        <v>1355</v>
      </c>
      <c r="C646" s="24">
        <v>1250000</v>
      </c>
      <c r="D646" s="220" t="s">
        <v>1387</v>
      </c>
      <c r="H646" s="1">
        <v>1250000</v>
      </c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</row>
    <row r="647" spans="1:199" x14ac:dyDescent="0.25">
      <c r="A647" s="195" t="s">
        <v>1353</v>
      </c>
      <c r="B647" s="18" t="s">
        <v>1354</v>
      </c>
      <c r="C647" s="24">
        <v>-140000</v>
      </c>
      <c r="D647" s="220" t="s">
        <v>1388</v>
      </c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DI647" s="1">
        <v>140000</v>
      </c>
    </row>
    <row r="648" spans="1:199" x14ac:dyDescent="0.25">
      <c r="A648" s="195" t="s">
        <v>1353</v>
      </c>
      <c r="B648" s="18" t="s">
        <v>670</v>
      </c>
      <c r="C648" s="24">
        <v>-500000</v>
      </c>
      <c r="D648" s="220" t="s">
        <v>1389</v>
      </c>
      <c r="Z648" s="14"/>
      <c r="AA648" s="14"/>
      <c r="AB648" s="14"/>
      <c r="AC648" s="14"/>
      <c r="AD648" s="14"/>
      <c r="AE648" s="14"/>
      <c r="AF648" s="14"/>
      <c r="AG648" s="14">
        <v>500000</v>
      </c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</row>
    <row r="649" spans="1:199" x14ac:dyDescent="0.25">
      <c r="A649" s="195" t="s">
        <v>1353</v>
      </c>
      <c r="B649" s="18" t="s">
        <v>1096</v>
      </c>
      <c r="C649" s="24">
        <v>-524000</v>
      </c>
      <c r="D649" s="220" t="s">
        <v>1390</v>
      </c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>
        <v>524000</v>
      </c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</row>
    <row r="650" spans="1:199" x14ac:dyDescent="0.25">
      <c r="A650" s="195" t="s">
        <v>1353</v>
      </c>
      <c r="B650" s="18" t="s">
        <v>1150</v>
      </c>
      <c r="C650" s="24">
        <f>-20-30</f>
        <v>-50</v>
      </c>
      <c r="D650" s="220" t="s">
        <v>1391</v>
      </c>
      <c r="H650" s="24"/>
      <c r="I650" s="129"/>
      <c r="J650" s="214"/>
      <c r="K650" s="214"/>
      <c r="L650" s="214"/>
      <c r="M650" s="169"/>
      <c r="N650" s="186"/>
      <c r="O650" s="186"/>
      <c r="P650" s="186"/>
      <c r="Q650" s="105"/>
      <c r="R650" s="186"/>
      <c r="S650" s="24"/>
      <c r="T650" s="70"/>
      <c r="U650" s="153"/>
      <c r="V650" s="43"/>
      <c r="W650" s="24"/>
      <c r="X650" s="240"/>
      <c r="Y650" s="2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EK650" s="1">
        <v>50</v>
      </c>
    </row>
    <row r="651" spans="1:199" x14ac:dyDescent="0.25">
      <c r="A651" s="195" t="s">
        <v>1353</v>
      </c>
      <c r="B651" s="18" t="s">
        <v>929</v>
      </c>
      <c r="C651" s="1">
        <v>-100000</v>
      </c>
      <c r="D651" s="220" t="s">
        <v>1392</v>
      </c>
      <c r="AH651" s="1">
        <v>100000</v>
      </c>
    </row>
    <row r="652" spans="1:199" x14ac:dyDescent="0.25">
      <c r="A652" s="195" t="s">
        <v>1353</v>
      </c>
      <c r="B652" s="18" t="s">
        <v>576</v>
      </c>
      <c r="C652" s="1">
        <v>-58</v>
      </c>
      <c r="D652" s="220" t="s">
        <v>1393</v>
      </c>
      <c r="EP652" s="1">
        <v>58</v>
      </c>
    </row>
    <row r="653" spans="1:199" x14ac:dyDescent="0.25">
      <c r="A653" s="195" t="s">
        <v>1353</v>
      </c>
      <c r="B653" s="18" t="s">
        <v>1356</v>
      </c>
      <c r="C653" s="1">
        <f>-50000-50000</f>
        <v>-100000</v>
      </c>
      <c r="D653" s="220" t="s">
        <v>1394</v>
      </c>
      <c r="AC653" s="4">
        <v>100000</v>
      </c>
    </row>
    <row r="654" spans="1:199" x14ac:dyDescent="0.25">
      <c r="A654" s="195" t="s">
        <v>1353</v>
      </c>
      <c r="B654" s="18" t="s">
        <v>1151</v>
      </c>
      <c r="C654" s="1">
        <v>-35</v>
      </c>
      <c r="D654" s="220" t="s">
        <v>1395</v>
      </c>
      <c r="EK654" s="1">
        <v>35</v>
      </c>
    </row>
    <row r="655" spans="1:199" x14ac:dyDescent="0.25">
      <c r="A655" s="195" t="s">
        <v>1364</v>
      </c>
      <c r="B655" s="18" t="s">
        <v>1366</v>
      </c>
      <c r="C655" s="1">
        <v>-24500</v>
      </c>
      <c r="D655" s="220" t="s">
        <v>1396</v>
      </c>
      <c r="DZ655" s="1">
        <v>24500</v>
      </c>
    </row>
    <row r="656" spans="1:199" x14ac:dyDescent="0.25">
      <c r="A656" s="195" t="s">
        <v>1364</v>
      </c>
      <c r="B656" s="18" t="s">
        <v>929</v>
      </c>
      <c r="C656" s="1">
        <v>-100000</v>
      </c>
      <c r="D656" s="220" t="s">
        <v>1397</v>
      </c>
      <c r="AH656" s="1">
        <v>100000</v>
      </c>
    </row>
    <row r="657" spans="1:182" x14ac:dyDescent="0.25">
      <c r="A657" s="195" t="s">
        <v>1364</v>
      </c>
      <c r="B657" s="18" t="s">
        <v>576</v>
      </c>
      <c r="C657" s="1">
        <v>-58</v>
      </c>
      <c r="D657" s="220" t="s">
        <v>1398</v>
      </c>
      <c r="EP657" s="1">
        <v>58</v>
      </c>
    </row>
    <row r="658" spans="1:182" x14ac:dyDescent="0.25">
      <c r="A658" s="195" t="s">
        <v>1364</v>
      </c>
      <c r="B658" s="18" t="s">
        <v>1361</v>
      </c>
      <c r="C658" s="1">
        <v>-12000</v>
      </c>
      <c r="D658" s="220" t="s">
        <v>1399</v>
      </c>
      <c r="U658" s="1">
        <v>12000</v>
      </c>
    </row>
    <row r="659" spans="1:182" x14ac:dyDescent="0.25">
      <c r="A659" s="195" t="s">
        <v>1364</v>
      </c>
      <c r="B659" s="18" t="s">
        <v>1367</v>
      </c>
      <c r="C659" s="1">
        <v>-23</v>
      </c>
      <c r="D659" s="220" t="s">
        <v>1400</v>
      </c>
      <c r="DF659" s="1">
        <v>23</v>
      </c>
    </row>
    <row r="660" spans="1:182" x14ac:dyDescent="0.25">
      <c r="A660" s="195" t="s">
        <v>1364</v>
      </c>
      <c r="B660" s="18" t="s">
        <v>1362</v>
      </c>
      <c r="C660" s="1">
        <v>-4000</v>
      </c>
      <c r="D660" s="220" t="s">
        <v>1401</v>
      </c>
      <c r="CS660" s="1">
        <v>4000</v>
      </c>
    </row>
    <row r="661" spans="1:182" x14ac:dyDescent="0.25">
      <c r="A661" s="195" t="s">
        <v>1364</v>
      </c>
      <c r="B661" s="18" t="s">
        <v>1363</v>
      </c>
      <c r="C661" s="1">
        <v>-2000</v>
      </c>
      <c r="D661" s="220" t="s">
        <v>1402</v>
      </c>
      <c r="CS661" s="1">
        <v>2000</v>
      </c>
    </row>
    <row r="662" spans="1:182" x14ac:dyDescent="0.25">
      <c r="A662" s="195" t="s">
        <v>1369</v>
      </c>
      <c r="B662" s="41" t="s">
        <v>675</v>
      </c>
      <c r="C662" s="1">
        <v>-47500</v>
      </c>
      <c r="D662" s="220" t="s">
        <v>1403</v>
      </c>
      <c r="FT662" s="1">
        <v>47500</v>
      </c>
    </row>
    <row r="663" spans="1:182" x14ac:dyDescent="0.25">
      <c r="A663" s="195" t="s">
        <v>1369</v>
      </c>
      <c r="B663" s="41" t="s">
        <v>678</v>
      </c>
      <c r="C663" s="1">
        <v>-35</v>
      </c>
      <c r="D663" s="220" t="s">
        <v>1404</v>
      </c>
      <c r="EP663" s="1">
        <v>35</v>
      </c>
    </row>
    <row r="664" spans="1:182" x14ac:dyDescent="0.25">
      <c r="A664" s="195" t="s">
        <v>1369</v>
      </c>
      <c r="B664" s="18" t="s">
        <v>1370</v>
      </c>
      <c r="C664" s="1">
        <v>-30</v>
      </c>
      <c r="D664" s="220" t="s">
        <v>1405</v>
      </c>
      <c r="EK664" s="1">
        <v>30</v>
      </c>
    </row>
    <row r="665" spans="1:182" x14ac:dyDescent="0.25">
      <c r="A665" s="195" t="s">
        <v>1369</v>
      </c>
      <c r="B665" s="18" t="s">
        <v>928</v>
      </c>
      <c r="C665" s="1">
        <v>-50000</v>
      </c>
      <c r="D665" s="220" t="s">
        <v>1406</v>
      </c>
      <c r="DO665" s="1">
        <v>50000</v>
      </c>
    </row>
    <row r="666" spans="1:182" x14ac:dyDescent="0.25">
      <c r="A666" s="195" t="s">
        <v>1369</v>
      </c>
      <c r="B666" s="41" t="s">
        <v>1533</v>
      </c>
      <c r="C666" s="1">
        <v>-70000</v>
      </c>
      <c r="D666" s="220" t="s">
        <v>1407</v>
      </c>
      <c r="FH666" s="1">
        <v>70000</v>
      </c>
    </row>
    <row r="667" spans="1:182" x14ac:dyDescent="0.25">
      <c r="A667" s="195" t="s">
        <v>1369</v>
      </c>
      <c r="B667" s="41" t="s">
        <v>1372</v>
      </c>
      <c r="C667" s="1">
        <v>-58</v>
      </c>
      <c r="D667" s="220" t="s">
        <v>1408</v>
      </c>
      <c r="EP667" s="1">
        <v>58</v>
      </c>
    </row>
    <row r="668" spans="1:182" x14ac:dyDescent="0.25">
      <c r="A668" s="195" t="s">
        <v>1369</v>
      </c>
      <c r="B668" s="41" t="s">
        <v>1373</v>
      </c>
      <c r="C668" s="1">
        <v>-3000</v>
      </c>
      <c r="D668" s="220" t="s">
        <v>1409</v>
      </c>
      <c r="I668" s="1">
        <v>3000</v>
      </c>
    </row>
    <row r="669" spans="1:182" x14ac:dyDescent="0.25">
      <c r="A669" s="195" t="s">
        <v>1369</v>
      </c>
      <c r="B669" s="41" t="s">
        <v>1374</v>
      </c>
      <c r="C669" s="1">
        <f>-1500-3500</f>
        <v>-5000</v>
      </c>
      <c r="D669" s="220" t="s">
        <v>1410</v>
      </c>
      <c r="FC669" s="1">
        <v>5000</v>
      </c>
    </row>
    <row r="670" spans="1:182" x14ac:dyDescent="0.25">
      <c r="A670" s="195" t="s">
        <v>1369</v>
      </c>
      <c r="B670" s="18" t="s">
        <v>1412</v>
      </c>
      <c r="C670" s="1">
        <v>-250</v>
      </c>
      <c r="D670" s="220" t="s">
        <v>1411</v>
      </c>
      <c r="FZ670" s="1">
        <v>250</v>
      </c>
    </row>
    <row r="671" spans="1:182" x14ac:dyDescent="0.25">
      <c r="A671" s="195" t="s">
        <v>1375</v>
      </c>
      <c r="B671" s="18" t="s">
        <v>1376</v>
      </c>
      <c r="C671" s="1">
        <v>600000</v>
      </c>
      <c r="D671" s="220" t="s">
        <v>1414</v>
      </c>
      <c r="H671" s="1">
        <v>600000</v>
      </c>
    </row>
    <row r="672" spans="1:182" x14ac:dyDescent="0.25">
      <c r="A672" s="195" t="s">
        <v>1375</v>
      </c>
      <c r="B672" s="18" t="s">
        <v>1377</v>
      </c>
      <c r="C672" s="1">
        <v>-262000</v>
      </c>
      <c r="D672" s="220" t="s">
        <v>1413</v>
      </c>
      <c r="AQ672" s="1">
        <v>262000</v>
      </c>
    </row>
    <row r="673" spans="1:146" x14ac:dyDescent="0.25">
      <c r="A673" s="195" t="s">
        <v>1375</v>
      </c>
      <c r="B673" s="18" t="s">
        <v>1150</v>
      </c>
      <c r="C673" s="1">
        <v>-60</v>
      </c>
      <c r="D673" s="220" t="s">
        <v>1415</v>
      </c>
      <c r="EK673" s="1">
        <v>60</v>
      </c>
    </row>
    <row r="674" spans="1:146" x14ac:dyDescent="0.25">
      <c r="A674" s="195" t="s">
        <v>1375</v>
      </c>
      <c r="B674" s="18" t="s">
        <v>1378</v>
      </c>
      <c r="C674" s="1">
        <v>-150000</v>
      </c>
      <c r="D674" s="220" t="s">
        <v>1416</v>
      </c>
      <c r="AH674" s="1">
        <v>150000</v>
      </c>
    </row>
    <row r="675" spans="1:146" x14ac:dyDescent="0.25">
      <c r="A675" s="195" t="s">
        <v>1375</v>
      </c>
      <c r="B675" s="18" t="s">
        <v>1379</v>
      </c>
      <c r="C675" s="1">
        <v>-50000</v>
      </c>
      <c r="D675" s="220" t="s">
        <v>1417</v>
      </c>
      <c r="AC675" s="4">
        <v>50000</v>
      </c>
    </row>
    <row r="676" spans="1:146" x14ac:dyDescent="0.25">
      <c r="A676" s="195" t="s">
        <v>1375</v>
      </c>
      <c r="B676" s="18" t="s">
        <v>1151</v>
      </c>
      <c r="C676" s="1">
        <v>-30</v>
      </c>
      <c r="D676" s="220" t="s">
        <v>1418</v>
      </c>
      <c r="EK676" s="1">
        <v>30</v>
      </c>
    </row>
    <row r="677" spans="1:146" x14ac:dyDescent="0.25">
      <c r="A677" s="195" t="s">
        <v>1380</v>
      </c>
      <c r="B677" s="18" t="s">
        <v>1381</v>
      </c>
      <c r="C677" s="1">
        <v>-60000</v>
      </c>
      <c r="D677" s="220" t="s">
        <v>1419</v>
      </c>
      <c r="AC677" s="4">
        <v>60000</v>
      </c>
    </row>
    <row r="678" spans="1:146" x14ac:dyDescent="0.25">
      <c r="A678" s="195" t="s">
        <v>1380</v>
      </c>
      <c r="B678" s="18" t="s">
        <v>1151</v>
      </c>
      <c r="C678" s="1">
        <v>-30</v>
      </c>
      <c r="D678" s="220" t="s">
        <v>1420</v>
      </c>
      <c r="EK678" s="1">
        <v>30</v>
      </c>
    </row>
    <row r="679" spans="1:146" x14ac:dyDescent="0.25">
      <c r="A679" s="195" t="s">
        <v>1421</v>
      </c>
      <c r="B679" s="18" t="s">
        <v>1525</v>
      </c>
      <c r="C679" s="1">
        <v>-100000</v>
      </c>
      <c r="D679" s="220" t="s">
        <v>1460</v>
      </c>
      <c r="BP679" s="1">
        <v>100000</v>
      </c>
    </row>
    <row r="680" spans="1:146" s="139" customFormat="1" ht="30" x14ac:dyDescent="0.25">
      <c r="A680" s="160" t="s">
        <v>1421</v>
      </c>
      <c r="B680" s="116" t="s">
        <v>1456</v>
      </c>
      <c r="C680" s="139">
        <v>-20000</v>
      </c>
      <c r="D680" s="160" t="s">
        <v>1461</v>
      </c>
      <c r="E680" s="160"/>
      <c r="F680" s="160"/>
      <c r="G680" s="160"/>
      <c r="AC680" s="143">
        <v>20000</v>
      </c>
      <c r="DS680" s="161"/>
      <c r="DT680" s="161"/>
      <c r="DU680" s="161"/>
    </row>
    <row r="681" spans="1:146" x14ac:dyDescent="0.25">
      <c r="A681" s="195" t="s">
        <v>1421</v>
      </c>
      <c r="B681" s="18" t="s">
        <v>1423</v>
      </c>
      <c r="C681" s="1">
        <v>-32000</v>
      </c>
      <c r="D681" s="160" t="s">
        <v>1462</v>
      </c>
      <c r="E681" s="160"/>
      <c r="F681" s="160"/>
      <c r="G681" s="160"/>
      <c r="DA681" s="1">
        <v>32000</v>
      </c>
    </row>
    <row r="682" spans="1:146" x14ac:dyDescent="0.25">
      <c r="A682" s="195" t="s">
        <v>1421</v>
      </c>
      <c r="B682" s="18" t="s">
        <v>717</v>
      </c>
      <c r="C682" s="1">
        <v>-20000</v>
      </c>
      <c r="D682" s="160" t="s">
        <v>1463</v>
      </c>
      <c r="E682" s="160"/>
      <c r="F682" s="160"/>
      <c r="G682" s="160"/>
      <c r="AN682" s="1">
        <v>20000</v>
      </c>
    </row>
    <row r="683" spans="1:146" x14ac:dyDescent="0.25">
      <c r="A683" s="195" t="s">
        <v>1421</v>
      </c>
      <c r="B683" s="18" t="s">
        <v>932</v>
      </c>
      <c r="C683" s="1">
        <v>-30500</v>
      </c>
      <c r="D683" s="160" t="s">
        <v>1464</v>
      </c>
      <c r="E683" s="160"/>
      <c r="F683" s="160"/>
      <c r="G683" s="160"/>
      <c r="AO683" s="1">
        <v>30500</v>
      </c>
    </row>
    <row r="684" spans="1:146" x14ac:dyDescent="0.25">
      <c r="A684" s="195" t="s">
        <v>1421</v>
      </c>
      <c r="B684" s="18" t="s">
        <v>1424</v>
      </c>
      <c r="C684" s="1">
        <v>-59400</v>
      </c>
      <c r="D684" s="160" t="s">
        <v>1465</v>
      </c>
      <c r="E684" s="160"/>
      <c r="F684" s="160"/>
      <c r="G684" s="160"/>
      <c r="AR684" s="1">
        <v>59400</v>
      </c>
    </row>
    <row r="685" spans="1:146" x14ac:dyDescent="0.25">
      <c r="A685" s="195" t="s">
        <v>1421</v>
      </c>
      <c r="B685" s="18" t="s">
        <v>1426</v>
      </c>
      <c r="C685" s="1">
        <v>-58</v>
      </c>
      <c r="D685" s="160" t="s">
        <v>1466</v>
      </c>
      <c r="E685" s="160"/>
      <c r="F685" s="160"/>
      <c r="G685" s="160"/>
      <c r="EP685" s="1">
        <v>58</v>
      </c>
    </row>
    <row r="686" spans="1:146" x14ac:dyDescent="0.25">
      <c r="A686" s="195" t="s">
        <v>1421</v>
      </c>
      <c r="B686" s="18" t="s">
        <v>1427</v>
      </c>
      <c r="C686" s="1">
        <v>-70</v>
      </c>
      <c r="D686" s="160" t="s">
        <v>1467</v>
      </c>
      <c r="E686" s="160"/>
      <c r="F686" s="160"/>
      <c r="G686" s="160"/>
      <c r="EK686" s="1">
        <v>70</v>
      </c>
    </row>
    <row r="687" spans="1:146" x14ac:dyDescent="0.25">
      <c r="A687" s="195" t="s">
        <v>1428</v>
      </c>
      <c r="B687" s="18" t="s">
        <v>1429</v>
      </c>
      <c r="C687" s="1">
        <v>160000</v>
      </c>
      <c r="D687" s="220" t="s">
        <v>1469</v>
      </c>
      <c r="BJ687" s="1">
        <v>160000</v>
      </c>
    </row>
    <row r="688" spans="1:146" x14ac:dyDescent="0.25">
      <c r="A688" s="195" t="s">
        <v>1428</v>
      </c>
      <c r="B688" s="18" t="s">
        <v>1422</v>
      </c>
      <c r="C688" s="1">
        <v>-20000</v>
      </c>
      <c r="D688" s="160" t="s">
        <v>1468</v>
      </c>
      <c r="E688" s="160"/>
      <c r="F688" s="160"/>
      <c r="G688" s="160"/>
      <c r="AC688" s="4">
        <v>20000</v>
      </c>
    </row>
    <row r="689" spans="1:159" x14ac:dyDescent="0.25">
      <c r="A689" s="195" t="s">
        <v>1428</v>
      </c>
      <c r="B689" s="18" t="s">
        <v>1241</v>
      </c>
      <c r="C689" s="1">
        <v>-140000</v>
      </c>
      <c r="D689" s="160" t="s">
        <v>1470</v>
      </c>
      <c r="E689" s="160"/>
      <c r="F689" s="160"/>
      <c r="G689" s="160"/>
      <c r="AW689" s="1">
        <v>140000</v>
      </c>
    </row>
    <row r="690" spans="1:159" x14ac:dyDescent="0.25">
      <c r="A690" s="195" t="s">
        <v>1428</v>
      </c>
      <c r="B690" s="41" t="s">
        <v>1433</v>
      </c>
      <c r="C690" s="1">
        <f>-9500-47200</f>
        <v>-56700</v>
      </c>
      <c r="D690" s="160" t="s">
        <v>1471</v>
      </c>
      <c r="E690" s="160"/>
      <c r="F690" s="160"/>
      <c r="G690" s="160"/>
      <c r="FC690" s="1">
        <f>9500+47200</f>
        <v>56700</v>
      </c>
    </row>
    <row r="691" spans="1:159" s="139" customFormat="1" ht="30" x14ac:dyDescent="0.25">
      <c r="A691" s="160" t="s">
        <v>1428</v>
      </c>
      <c r="B691" s="116" t="s">
        <v>1457</v>
      </c>
      <c r="C691" s="139">
        <v>-500</v>
      </c>
      <c r="D691" s="160" t="s">
        <v>1472</v>
      </c>
      <c r="E691" s="160"/>
      <c r="F691" s="160"/>
      <c r="G691" s="160"/>
      <c r="DS691" s="161"/>
      <c r="DT691" s="161"/>
      <c r="DU691" s="161"/>
      <c r="ES691" s="139">
        <v>500</v>
      </c>
    </row>
    <row r="692" spans="1:159" x14ac:dyDescent="0.25">
      <c r="A692" s="195" t="s">
        <v>1431</v>
      </c>
      <c r="B692" s="18" t="s">
        <v>1432</v>
      </c>
      <c r="C692" s="1">
        <v>700000</v>
      </c>
      <c r="D692" s="220" t="s">
        <v>1473</v>
      </c>
      <c r="H692" s="1">
        <v>700000</v>
      </c>
    </row>
    <row r="693" spans="1:159" x14ac:dyDescent="0.25">
      <c r="A693" s="195" t="s">
        <v>1431</v>
      </c>
      <c r="B693" s="18" t="s">
        <v>670</v>
      </c>
      <c r="C693" s="1">
        <v>-100000</v>
      </c>
      <c r="D693" s="160" t="s">
        <v>1474</v>
      </c>
      <c r="E693" s="160"/>
      <c r="F693" s="160"/>
      <c r="G693" s="160"/>
      <c r="AG693" s="1">
        <v>100000</v>
      </c>
    </row>
    <row r="694" spans="1:159" x14ac:dyDescent="0.25">
      <c r="A694" s="195" t="s">
        <v>1431</v>
      </c>
      <c r="B694" s="18" t="s">
        <v>946</v>
      </c>
      <c r="C694" s="1">
        <v>-104000</v>
      </c>
      <c r="D694" s="160" t="s">
        <v>1475</v>
      </c>
      <c r="E694" s="160"/>
      <c r="F694" s="160"/>
      <c r="G694" s="160"/>
      <c r="AU694" s="1">
        <v>104000</v>
      </c>
    </row>
    <row r="695" spans="1:159" x14ac:dyDescent="0.25">
      <c r="A695" s="195" t="s">
        <v>1431</v>
      </c>
      <c r="B695" s="18" t="s">
        <v>1379</v>
      </c>
      <c r="C695" s="1">
        <f>-50000-50000</f>
        <v>-100000</v>
      </c>
      <c r="D695" s="160" t="s">
        <v>1476</v>
      </c>
      <c r="E695" s="160"/>
      <c r="F695" s="160"/>
      <c r="G695" s="160"/>
      <c r="AC695" s="4">
        <v>100000</v>
      </c>
    </row>
    <row r="696" spans="1:159" x14ac:dyDescent="0.25">
      <c r="A696" s="195" t="s">
        <v>1431</v>
      </c>
      <c r="B696" s="18" t="s">
        <v>1435</v>
      </c>
      <c r="C696" s="1">
        <v>-170000</v>
      </c>
      <c r="D696" s="160" t="s">
        <v>1477</v>
      </c>
      <c r="E696" s="160"/>
      <c r="F696" s="160"/>
      <c r="G696" s="160"/>
      <c r="AZ696" s="1">
        <v>170000</v>
      </c>
    </row>
    <row r="697" spans="1:159" x14ac:dyDescent="0.25">
      <c r="A697" s="195" t="s">
        <v>1431</v>
      </c>
      <c r="B697" s="18" t="s">
        <v>1436</v>
      </c>
      <c r="C697" s="1">
        <v>-173</v>
      </c>
      <c r="D697" s="160" t="s">
        <v>1478</v>
      </c>
      <c r="E697" s="160"/>
      <c r="F697" s="160"/>
      <c r="G697" s="160"/>
      <c r="DF697" s="1">
        <v>173</v>
      </c>
    </row>
    <row r="698" spans="1:159" x14ac:dyDescent="0.25">
      <c r="A698" s="195" t="s">
        <v>1431</v>
      </c>
      <c r="B698" s="18" t="s">
        <v>1438</v>
      </c>
      <c r="C698" s="1">
        <v>-160000</v>
      </c>
      <c r="D698" s="160" t="s">
        <v>1479</v>
      </c>
      <c r="E698" s="160"/>
      <c r="F698" s="160"/>
      <c r="G698" s="160"/>
      <c r="BO698" s="1">
        <v>160000</v>
      </c>
    </row>
    <row r="699" spans="1:159" x14ac:dyDescent="0.25">
      <c r="A699" s="195" t="s">
        <v>1437</v>
      </c>
      <c r="B699" s="18" t="s">
        <v>1429</v>
      </c>
      <c r="C699" s="1">
        <v>40000</v>
      </c>
      <c r="D699" s="220" t="s">
        <v>1480</v>
      </c>
      <c r="BJ699" s="1">
        <v>40000</v>
      </c>
    </row>
    <row r="700" spans="1:159" x14ac:dyDescent="0.25">
      <c r="A700" s="195" t="s">
        <v>1437</v>
      </c>
      <c r="B700" s="18" t="s">
        <v>946</v>
      </c>
      <c r="C700" s="1">
        <v>-104000</v>
      </c>
      <c r="D700" s="160" t="s">
        <v>1481</v>
      </c>
      <c r="E700" s="160"/>
      <c r="F700" s="160"/>
      <c r="G700" s="160"/>
      <c r="AU700" s="1">
        <v>104000</v>
      </c>
    </row>
    <row r="701" spans="1:159" x14ac:dyDescent="0.25">
      <c r="A701" s="195" t="s">
        <v>1437</v>
      </c>
      <c r="B701" s="18" t="s">
        <v>1458</v>
      </c>
      <c r="C701" s="1">
        <v>-35</v>
      </c>
      <c r="D701" s="160" t="s">
        <v>1482</v>
      </c>
      <c r="E701" s="160"/>
      <c r="F701" s="160"/>
      <c r="G701" s="160"/>
      <c r="EK701" s="1">
        <v>35</v>
      </c>
    </row>
    <row r="702" spans="1:159" x14ac:dyDescent="0.25">
      <c r="A702" s="195" t="s">
        <v>1437</v>
      </c>
      <c r="B702" s="18" t="s">
        <v>1439</v>
      </c>
      <c r="C702" s="1">
        <v>-200</v>
      </c>
      <c r="D702" s="160" t="s">
        <v>1483</v>
      </c>
      <c r="E702" s="160"/>
      <c r="F702" s="160"/>
      <c r="G702" s="160"/>
      <c r="EK702" s="1">
        <v>200</v>
      </c>
    </row>
    <row r="703" spans="1:159" x14ac:dyDescent="0.25">
      <c r="A703" s="195" t="s">
        <v>1441</v>
      </c>
      <c r="B703" s="84" t="s">
        <v>1440</v>
      </c>
      <c r="C703" s="1">
        <v>1107</v>
      </c>
      <c r="D703" s="220" t="s">
        <v>1484</v>
      </c>
      <c r="BH703" s="1">
        <v>-50000</v>
      </c>
    </row>
    <row r="704" spans="1:159" x14ac:dyDescent="0.25">
      <c r="B704" s="18" t="s">
        <v>1443</v>
      </c>
      <c r="EU704" s="1">
        <v>8900</v>
      </c>
      <c r="EW704" s="1">
        <v>4320</v>
      </c>
    </row>
    <row r="705" spans="1:168" x14ac:dyDescent="0.25">
      <c r="B705" s="18" t="s">
        <v>1442</v>
      </c>
      <c r="FC705" s="1">
        <v>21550</v>
      </c>
    </row>
    <row r="706" spans="1:168" x14ac:dyDescent="0.25">
      <c r="B706" s="41" t="s">
        <v>1444</v>
      </c>
      <c r="AC706" s="4">
        <v>10000</v>
      </c>
    </row>
    <row r="707" spans="1:168" x14ac:dyDescent="0.25">
      <c r="B707" s="41" t="s">
        <v>1445</v>
      </c>
      <c r="FL707" s="1">
        <v>100</v>
      </c>
    </row>
    <row r="708" spans="1:168" x14ac:dyDescent="0.25">
      <c r="B708" s="41" t="s">
        <v>1446</v>
      </c>
      <c r="EL708" s="1">
        <v>2100</v>
      </c>
    </row>
    <row r="709" spans="1:168" x14ac:dyDescent="0.25">
      <c r="B709" s="41" t="s">
        <v>1447</v>
      </c>
      <c r="FE709" s="1">
        <v>800</v>
      </c>
    </row>
    <row r="710" spans="1:168" x14ac:dyDescent="0.25">
      <c r="B710" s="41" t="s">
        <v>1448</v>
      </c>
      <c r="EK710" s="1">
        <v>1123</v>
      </c>
    </row>
    <row r="711" spans="1:168" x14ac:dyDescent="0.25">
      <c r="A711" s="195" t="s">
        <v>1441</v>
      </c>
      <c r="B711" s="18" t="s">
        <v>1449</v>
      </c>
      <c r="C711" s="1">
        <v>1100000</v>
      </c>
      <c r="D711" s="220" t="s">
        <v>1485</v>
      </c>
      <c r="H711" s="1">
        <v>1100000</v>
      </c>
    </row>
    <row r="712" spans="1:168" x14ac:dyDescent="0.25">
      <c r="A712" s="195" t="s">
        <v>1441</v>
      </c>
      <c r="B712" s="41" t="s">
        <v>1438</v>
      </c>
      <c r="C712" s="1">
        <v>-40000</v>
      </c>
      <c r="D712" s="160" t="s">
        <v>1486</v>
      </c>
      <c r="E712" s="160"/>
      <c r="F712" s="160"/>
      <c r="G712" s="160"/>
      <c r="BO712" s="1">
        <v>40000</v>
      </c>
    </row>
    <row r="713" spans="1:168" x14ac:dyDescent="0.25">
      <c r="A713" s="195" t="s">
        <v>1441</v>
      </c>
      <c r="B713" s="18" t="s">
        <v>1096</v>
      </c>
      <c r="C713" s="1">
        <v>-150000</v>
      </c>
      <c r="D713" s="160" t="s">
        <v>1487</v>
      </c>
      <c r="E713" s="160"/>
      <c r="F713" s="160"/>
      <c r="G713" s="160"/>
      <c r="AQ713" s="1">
        <v>150000</v>
      </c>
    </row>
    <row r="714" spans="1:168" x14ac:dyDescent="0.25">
      <c r="A714" s="195" t="s">
        <v>1441</v>
      </c>
      <c r="B714" s="18" t="s">
        <v>1450</v>
      </c>
      <c r="C714" s="1">
        <v>-15</v>
      </c>
      <c r="D714" s="160" t="s">
        <v>1488</v>
      </c>
      <c r="E714" s="160"/>
      <c r="F714" s="160"/>
      <c r="G714" s="160"/>
      <c r="EK714" s="1">
        <v>15</v>
      </c>
    </row>
    <row r="715" spans="1:168" s="139" customFormat="1" ht="30" x14ac:dyDescent="0.25">
      <c r="A715" s="160" t="s">
        <v>1441</v>
      </c>
      <c r="B715" s="162" t="s">
        <v>1451</v>
      </c>
      <c r="C715" s="110">
        <v>-100000</v>
      </c>
      <c r="D715" s="160" t="s">
        <v>1489</v>
      </c>
      <c r="E715" s="160"/>
      <c r="F715" s="160"/>
      <c r="G715" s="160"/>
      <c r="AC715" s="143">
        <v>100000</v>
      </c>
      <c r="DS715" s="161"/>
      <c r="DT715" s="161"/>
      <c r="DU715" s="161"/>
    </row>
    <row r="716" spans="1:168" x14ac:dyDescent="0.25">
      <c r="A716" s="195" t="s">
        <v>1441</v>
      </c>
      <c r="B716" s="18" t="s">
        <v>1452</v>
      </c>
      <c r="C716" s="1">
        <v>-30</v>
      </c>
      <c r="D716" s="160" t="s">
        <v>1490</v>
      </c>
      <c r="E716" s="160"/>
      <c r="F716" s="160"/>
      <c r="G716" s="160"/>
      <c r="EK716" s="1">
        <v>30</v>
      </c>
    </row>
    <row r="717" spans="1:168" x14ac:dyDescent="0.25">
      <c r="A717" s="195" t="s">
        <v>1441</v>
      </c>
      <c r="B717" s="41" t="s">
        <v>1454</v>
      </c>
      <c r="C717" s="1">
        <v>-582750</v>
      </c>
      <c r="D717" s="160" t="s">
        <v>1491</v>
      </c>
      <c r="E717" s="160"/>
      <c r="F717" s="160"/>
      <c r="G717" s="160"/>
      <c r="AV717" s="1">
        <v>582750</v>
      </c>
    </row>
    <row r="718" spans="1:168" x14ac:dyDescent="0.25">
      <c r="A718" s="195" t="s">
        <v>1441</v>
      </c>
      <c r="B718" s="41" t="s">
        <v>1453</v>
      </c>
      <c r="C718" s="1">
        <v>-288</v>
      </c>
      <c r="D718" s="160" t="s">
        <v>1492</v>
      </c>
      <c r="E718" s="160"/>
      <c r="F718" s="160"/>
      <c r="G718" s="160"/>
      <c r="EP718" s="1">
        <v>288</v>
      </c>
    </row>
    <row r="719" spans="1:168" x14ac:dyDescent="0.25">
      <c r="A719" s="195" t="s">
        <v>1441</v>
      </c>
      <c r="B719" s="41" t="s">
        <v>1455</v>
      </c>
      <c r="C719" s="1">
        <v>-3500</v>
      </c>
      <c r="D719" s="160" t="s">
        <v>1493</v>
      </c>
      <c r="E719" s="160"/>
      <c r="F719" s="160"/>
      <c r="G719" s="160"/>
      <c r="BH719" s="1">
        <v>3500</v>
      </c>
    </row>
    <row r="720" spans="1:168" x14ac:dyDescent="0.25">
      <c r="A720" s="195" t="s">
        <v>1495</v>
      </c>
      <c r="B720" s="162" t="s">
        <v>1496</v>
      </c>
      <c r="C720" s="1">
        <f>-30000-15010</f>
        <v>-45010</v>
      </c>
      <c r="D720" s="160" t="s">
        <v>1797</v>
      </c>
      <c r="E720" s="160"/>
      <c r="F720" s="160"/>
      <c r="G720" s="160"/>
      <c r="AC720" s="4">
        <v>45010</v>
      </c>
    </row>
    <row r="721" spans="1:161" x14ac:dyDescent="0.25">
      <c r="A721" s="195" t="s">
        <v>1495</v>
      </c>
      <c r="B721" s="18" t="s">
        <v>1509</v>
      </c>
      <c r="C721" s="1">
        <v>-30</v>
      </c>
      <c r="D721" s="160" t="s">
        <v>1798</v>
      </c>
      <c r="E721" s="160"/>
      <c r="F721" s="160"/>
      <c r="G721" s="160"/>
      <c r="EK721" s="1">
        <v>30</v>
      </c>
    </row>
    <row r="722" spans="1:161" x14ac:dyDescent="0.25">
      <c r="A722" s="195" t="s">
        <v>1495</v>
      </c>
      <c r="B722" s="18" t="s">
        <v>1497</v>
      </c>
      <c r="C722" s="1">
        <f>-15000-19928-5000-15000-25000-5062</f>
        <v>-84990</v>
      </c>
      <c r="D722" s="160" t="s">
        <v>1799</v>
      </c>
      <c r="E722" s="160"/>
      <c r="F722" s="160"/>
      <c r="G722" s="160"/>
      <c r="DC722" s="1">
        <v>84990</v>
      </c>
    </row>
    <row r="723" spans="1:161" s="4" customFormat="1" x14ac:dyDescent="0.25">
      <c r="A723" s="10" t="s">
        <v>1495</v>
      </c>
      <c r="B723" s="32" t="s">
        <v>2076</v>
      </c>
      <c r="D723" s="198"/>
      <c r="E723" s="198"/>
      <c r="F723" s="198"/>
      <c r="G723" s="198"/>
      <c r="S723" s="4">
        <v>-20000</v>
      </c>
      <c r="U723" s="4">
        <v>-6000</v>
      </c>
      <c r="DS723" s="12"/>
      <c r="DT723" s="12"/>
      <c r="DU723" s="12"/>
    </row>
    <row r="724" spans="1:161" x14ac:dyDescent="0.25">
      <c r="A724" s="220"/>
      <c r="B724" s="18" t="s">
        <v>2074</v>
      </c>
      <c r="D724" s="160"/>
      <c r="E724" s="160"/>
      <c r="F724" s="160"/>
      <c r="G724" s="160"/>
      <c r="DC724" s="1">
        <v>20000</v>
      </c>
    </row>
    <row r="725" spans="1:161" x14ac:dyDescent="0.25">
      <c r="A725" s="220"/>
      <c r="B725" s="18" t="s">
        <v>2075</v>
      </c>
      <c r="D725" s="160"/>
      <c r="E725" s="160"/>
      <c r="F725" s="160"/>
      <c r="G725" s="160"/>
      <c r="DC725" s="1">
        <v>6000</v>
      </c>
    </row>
    <row r="726" spans="1:161" x14ac:dyDescent="0.25">
      <c r="A726" s="228"/>
      <c r="B726" s="18" t="s">
        <v>2100</v>
      </c>
      <c r="D726" s="160"/>
      <c r="E726" s="160"/>
      <c r="F726" s="160"/>
      <c r="G726" s="160"/>
      <c r="V726" s="1">
        <v>-6500</v>
      </c>
      <c r="DC726" s="1">
        <v>6500</v>
      </c>
    </row>
    <row r="727" spans="1:161" x14ac:dyDescent="0.25">
      <c r="A727" s="195" t="s">
        <v>1495</v>
      </c>
      <c r="B727" s="41" t="s">
        <v>1534</v>
      </c>
      <c r="C727" s="1">
        <v>-11000</v>
      </c>
      <c r="D727" s="160" t="s">
        <v>1800</v>
      </c>
      <c r="E727" s="160"/>
      <c r="F727" s="160"/>
      <c r="G727" s="160"/>
      <c r="FE727" s="1">
        <v>11000</v>
      </c>
    </row>
    <row r="728" spans="1:161" x14ac:dyDescent="0.25">
      <c r="A728" s="195" t="s">
        <v>1495</v>
      </c>
      <c r="B728" s="41" t="s">
        <v>1498</v>
      </c>
      <c r="C728" s="1">
        <f>-1130-1000</f>
        <v>-2130</v>
      </c>
      <c r="D728" s="160" t="s">
        <v>1801</v>
      </c>
      <c r="E728" s="160"/>
      <c r="F728" s="160"/>
      <c r="G728" s="160"/>
      <c r="FE728" s="1">
        <v>2130</v>
      </c>
    </row>
    <row r="729" spans="1:161" x14ac:dyDescent="0.25">
      <c r="A729" s="195" t="s">
        <v>1495</v>
      </c>
      <c r="B729" s="41" t="s">
        <v>1499</v>
      </c>
      <c r="C729" s="1">
        <f>-3000-4000</f>
        <v>-7000</v>
      </c>
      <c r="D729" s="160" t="s">
        <v>1802</v>
      </c>
      <c r="E729" s="160"/>
      <c r="F729" s="160"/>
      <c r="G729" s="160"/>
      <c r="ES729" s="1">
        <v>7000</v>
      </c>
    </row>
    <row r="730" spans="1:161" x14ac:dyDescent="0.25">
      <c r="A730" s="195" t="s">
        <v>1495</v>
      </c>
      <c r="B730" s="41" t="s">
        <v>1500</v>
      </c>
      <c r="C730" s="1">
        <f>-35-35-30-30-20-20-75-75-500-500</f>
        <v>-1320</v>
      </c>
      <c r="D730" s="160" t="s">
        <v>1803</v>
      </c>
      <c r="E730" s="160"/>
      <c r="F730" s="160"/>
      <c r="G730" s="160"/>
      <c r="EK730" s="1">
        <v>1320</v>
      </c>
    </row>
    <row r="731" spans="1:161" x14ac:dyDescent="0.25">
      <c r="A731" s="195" t="s">
        <v>1495</v>
      </c>
      <c r="B731" s="41" t="s">
        <v>1501</v>
      </c>
      <c r="C731" s="1">
        <v>-100</v>
      </c>
      <c r="D731" s="160" t="s">
        <v>1804</v>
      </c>
      <c r="E731" s="160"/>
      <c r="F731" s="160"/>
      <c r="G731" s="160"/>
      <c r="EK731" s="1">
        <v>100</v>
      </c>
    </row>
    <row r="732" spans="1:161" ht="13.5" customHeight="1" x14ac:dyDescent="0.25">
      <c r="A732" s="195" t="s">
        <v>1495</v>
      </c>
      <c r="B732" s="7" t="s">
        <v>1502</v>
      </c>
      <c r="C732" s="1">
        <v>-1500</v>
      </c>
      <c r="D732" s="160" t="s">
        <v>1805</v>
      </c>
      <c r="E732" s="160"/>
      <c r="F732" s="160"/>
      <c r="G732" s="160"/>
      <c r="AF732" s="1">
        <v>1500</v>
      </c>
    </row>
    <row r="733" spans="1:161" x14ac:dyDescent="0.25">
      <c r="A733" s="195" t="s">
        <v>1495</v>
      </c>
      <c r="B733" s="7" t="s">
        <v>1503</v>
      </c>
      <c r="C733" s="1">
        <v>-30</v>
      </c>
      <c r="D733" s="160" t="s">
        <v>1806</v>
      </c>
      <c r="E733" s="160"/>
      <c r="F733" s="160"/>
      <c r="G733" s="160"/>
      <c r="EY733" s="1">
        <v>30</v>
      </c>
    </row>
    <row r="734" spans="1:161" x14ac:dyDescent="0.25">
      <c r="A734" s="195" t="s">
        <v>1504</v>
      </c>
      <c r="B734" s="18" t="s">
        <v>1429</v>
      </c>
      <c r="C734" s="1">
        <v>250000</v>
      </c>
      <c r="D734" s="160" t="s">
        <v>1808</v>
      </c>
      <c r="E734" s="160"/>
      <c r="F734" s="160"/>
      <c r="G734" s="160"/>
      <c r="BJ734" s="1">
        <v>250000</v>
      </c>
    </row>
    <row r="735" spans="1:161" x14ac:dyDescent="0.25">
      <c r="A735" s="195" t="s">
        <v>1504</v>
      </c>
      <c r="B735" s="7" t="s">
        <v>1506</v>
      </c>
      <c r="C735" s="1">
        <v>-220000</v>
      </c>
      <c r="D735" s="160" t="s">
        <v>1807</v>
      </c>
      <c r="E735" s="160"/>
      <c r="F735" s="160"/>
      <c r="G735" s="160"/>
      <c r="AX735" s="1">
        <v>220000</v>
      </c>
    </row>
    <row r="736" spans="1:161" x14ac:dyDescent="0.25">
      <c r="A736" s="195" t="s">
        <v>1504</v>
      </c>
      <c r="B736" s="18" t="s">
        <v>1508</v>
      </c>
      <c r="C736" s="1">
        <v>-55</v>
      </c>
      <c r="D736" s="160" t="s">
        <v>1809</v>
      </c>
      <c r="E736" s="160"/>
      <c r="F736" s="160"/>
      <c r="G736" s="160"/>
      <c r="EK736" s="1">
        <v>55</v>
      </c>
    </row>
    <row r="737" spans="1:155" s="164" customFormat="1" ht="30" x14ac:dyDescent="0.25">
      <c r="A737" s="160" t="s">
        <v>1504</v>
      </c>
      <c r="B737" s="111" t="s">
        <v>1510</v>
      </c>
      <c r="C737" s="164">
        <v>-60000</v>
      </c>
      <c r="D737" s="160" t="s">
        <v>1810</v>
      </c>
      <c r="E737" s="160"/>
      <c r="F737" s="160"/>
      <c r="G737" s="160"/>
      <c r="AC737" s="226">
        <v>60000</v>
      </c>
      <c r="DS737" s="165"/>
      <c r="DT737" s="165"/>
      <c r="DU737" s="165"/>
    </row>
    <row r="738" spans="1:155" x14ac:dyDescent="0.25">
      <c r="A738" s="195" t="s">
        <v>1504</v>
      </c>
      <c r="B738" s="18" t="s">
        <v>1509</v>
      </c>
      <c r="C738" s="1">
        <v>-30</v>
      </c>
      <c r="D738" s="160" t="s">
        <v>1811</v>
      </c>
      <c r="E738" s="160"/>
      <c r="F738" s="160"/>
      <c r="G738" s="160"/>
      <c r="EK738" s="1">
        <v>30</v>
      </c>
    </row>
    <row r="739" spans="1:155" x14ac:dyDescent="0.25">
      <c r="A739" s="195" t="s">
        <v>1504</v>
      </c>
      <c r="B739" s="7" t="s">
        <v>1511</v>
      </c>
      <c r="C739" s="1">
        <v>-200</v>
      </c>
      <c r="D739" s="160" t="s">
        <v>1812</v>
      </c>
      <c r="E739" s="160"/>
      <c r="F739" s="160"/>
      <c r="G739" s="160"/>
      <c r="EH739" s="1">
        <v>200</v>
      </c>
    </row>
    <row r="740" spans="1:155" x14ac:dyDescent="0.25">
      <c r="A740" s="195" t="s">
        <v>1504</v>
      </c>
      <c r="B740" s="7" t="s">
        <v>1513</v>
      </c>
      <c r="C740" s="1">
        <v>-18800</v>
      </c>
      <c r="D740" s="160" t="s">
        <v>1813</v>
      </c>
      <c r="E740" s="160"/>
      <c r="F740" s="160"/>
      <c r="G740" s="160"/>
      <c r="DG740" s="1">
        <v>18800</v>
      </c>
    </row>
    <row r="741" spans="1:155" x14ac:dyDescent="0.25">
      <c r="A741" s="195" t="s">
        <v>1504</v>
      </c>
      <c r="B741" s="7" t="s">
        <v>1515</v>
      </c>
      <c r="C741" s="1">
        <v>-10500</v>
      </c>
      <c r="D741" s="160" t="s">
        <v>1814</v>
      </c>
      <c r="E741" s="160"/>
      <c r="F741" s="160"/>
      <c r="G741" s="160"/>
      <c r="ES741" s="1">
        <v>10500</v>
      </c>
    </row>
    <row r="742" spans="1:155" x14ac:dyDescent="0.25">
      <c r="A742" s="195" t="s">
        <v>1504</v>
      </c>
      <c r="B742" s="7" t="s">
        <v>1512</v>
      </c>
      <c r="C742" s="1">
        <v>-210</v>
      </c>
      <c r="D742" s="160" t="s">
        <v>1815</v>
      </c>
      <c r="E742" s="160"/>
      <c r="F742" s="160"/>
      <c r="G742" s="160"/>
      <c r="EY742" s="1">
        <v>210</v>
      </c>
    </row>
    <row r="743" spans="1:155" x14ac:dyDescent="0.25">
      <c r="A743" s="195" t="s">
        <v>1504</v>
      </c>
      <c r="B743" s="7" t="s">
        <v>1516</v>
      </c>
      <c r="C743" s="1">
        <v>-2000</v>
      </c>
      <c r="D743" s="160" t="s">
        <v>1816</v>
      </c>
      <c r="E743" s="160"/>
      <c r="F743" s="160"/>
      <c r="G743" s="160"/>
      <c r="AC743" s="4">
        <v>2000</v>
      </c>
    </row>
    <row r="744" spans="1:155" x14ac:dyDescent="0.25">
      <c r="A744" s="195" t="s">
        <v>1504</v>
      </c>
      <c r="B744" s="7" t="s">
        <v>1517</v>
      </c>
      <c r="C744" s="1">
        <v>-40</v>
      </c>
      <c r="D744" s="160" t="s">
        <v>1817</v>
      </c>
      <c r="E744" s="160"/>
      <c r="F744" s="160"/>
      <c r="G744" s="160"/>
      <c r="EY744" s="1">
        <v>40</v>
      </c>
    </row>
    <row r="745" spans="1:155" x14ac:dyDescent="0.25">
      <c r="A745" s="195" t="s">
        <v>1520</v>
      </c>
      <c r="B745" s="18" t="s">
        <v>1519</v>
      </c>
      <c r="C745" s="1">
        <v>2300000</v>
      </c>
      <c r="D745" s="220" t="s">
        <v>1818</v>
      </c>
      <c r="H745" s="1">
        <v>2300000</v>
      </c>
    </row>
    <row r="746" spans="1:155" x14ac:dyDescent="0.25">
      <c r="A746" s="195" t="s">
        <v>1520</v>
      </c>
      <c r="B746" s="7" t="s">
        <v>1438</v>
      </c>
      <c r="C746" s="1">
        <v>-250000</v>
      </c>
      <c r="D746" s="160" t="s">
        <v>1819</v>
      </c>
      <c r="E746" s="160"/>
      <c r="F746" s="160"/>
      <c r="G746" s="160"/>
      <c r="BO746" s="1">
        <v>250000</v>
      </c>
    </row>
    <row r="747" spans="1:155" s="7" customFormat="1" x14ac:dyDescent="0.25">
      <c r="A747" s="11" t="s">
        <v>1520</v>
      </c>
      <c r="B747" s="7" t="s">
        <v>1531</v>
      </c>
      <c r="C747" s="7">
        <v>-1478667</v>
      </c>
      <c r="D747" s="112" t="s">
        <v>1820</v>
      </c>
      <c r="E747" s="112"/>
      <c r="F747" s="112"/>
      <c r="G747" s="112"/>
      <c r="AS747" s="7">
        <v>1478667</v>
      </c>
      <c r="DS747" s="14"/>
      <c r="DT747" s="14"/>
      <c r="DU747" s="14"/>
    </row>
    <row r="748" spans="1:155" x14ac:dyDescent="0.25">
      <c r="A748" s="195" t="s">
        <v>1520</v>
      </c>
      <c r="B748" s="7" t="s">
        <v>1096</v>
      </c>
      <c r="C748" s="1">
        <v>-200000</v>
      </c>
      <c r="D748" s="112" t="s">
        <v>1821</v>
      </c>
      <c r="E748" s="112"/>
      <c r="F748" s="112"/>
      <c r="G748" s="112"/>
      <c r="AQ748" s="1">
        <v>200000</v>
      </c>
    </row>
    <row r="749" spans="1:155" x14ac:dyDescent="0.25">
      <c r="A749" s="195" t="s">
        <v>1520</v>
      </c>
      <c r="B749" s="18" t="s">
        <v>1532</v>
      </c>
      <c r="C749" s="1">
        <v>-50000</v>
      </c>
      <c r="D749" s="112" t="s">
        <v>1822</v>
      </c>
      <c r="E749" s="112"/>
      <c r="F749" s="112"/>
      <c r="G749" s="112"/>
      <c r="DO749" s="1">
        <v>50000</v>
      </c>
    </row>
    <row r="750" spans="1:155" x14ac:dyDescent="0.25">
      <c r="A750" s="195" t="s">
        <v>1520</v>
      </c>
      <c r="B750" s="18" t="s">
        <v>1526</v>
      </c>
      <c r="C750" s="1">
        <v>-50000</v>
      </c>
      <c r="D750" s="112" t="s">
        <v>1823</v>
      </c>
      <c r="E750" s="112"/>
      <c r="F750" s="112"/>
      <c r="G750" s="112"/>
      <c r="AH750" s="1">
        <v>50000</v>
      </c>
    </row>
    <row r="751" spans="1:155" x14ac:dyDescent="0.25">
      <c r="A751" s="195" t="s">
        <v>1520</v>
      </c>
      <c r="B751" s="7" t="s">
        <v>1527</v>
      </c>
      <c r="C751" s="1">
        <v>-100000</v>
      </c>
      <c r="D751" s="112" t="s">
        <v>1824</v>
      </c>
      <c r="E751" s="112"/>
      <c r="F751" s="112"/>
      <c r="G751" s="112"/>
      <c r="AC751" s="4">
        <v>100000</v>
      </c>
    </row>
    <row r="752" spans="1:155" x14ac:dyDescent="0.25">
      <c r="A752" s="195" t="s">
        <v>1520</v>
      </c>
      <c r="B752" s="7" t="s">
        <v>1528</v>
      </c>
      <c r="C752" s="1">
        <f>-20-20-25</f>
        <v>-65</v>
      </c>
      <c r="D752" s="112" t="s">
        <v>1825</v>
      </c>
      <c r="E752" s="112"/>
      <c r="F752" s="112"/>
      <c r="G752" s="112"/>
      <c r="EK752" s="1">
        <v>65</v>
      </c>
    </row>
    <row r="753" spans="1:155" x14ac:dyDescent="0.25">
      <c r="A753" s="195" t="s">
        <v>1520</v>
      </c>
      <c r="B753" s="7" t="s">
        <v>1529</v>
      </c>
      <c r="C753" s="1">
        <v>-58</v>
      </c>
      <c r="D753" s="112" t="s">
        <v>1826</v>
      </c>
      <c r="E753" s="112"/>
      <c r="F753" s="112"/>
      <c r="G753" s="112"/>
      <c r="EP753" s="1">
        <v>58</v>
      </c>
    </row>
    <row r="754" spans="1:155" s="7" customFormat="1" x14ac:dyDescent="0.25">
      <c r="A754" s="11" t="s">
        <v>1537</v>
      </c>
      <c r="B754" s="7" t="s">
        <v>1538</v>
      </c>
      <c r="C754" s="7">
        <v>-40000</v>
      </c>
      <c r="D754" s="112" t="s">
        <v>1827</v>
      </c>
      <c r="E754" s="112"/>
      <c r="F754" s="112"/>
      <c r="G754" s="112"/>
      <c r="AC754" s="4">
        <v>40000</v>
      </c>
      <c r="DS754" s="14"/>
      <c r="DT754" s="14"/>
      <c r="DU754" s="14"/>
    </row>
    <row r="755" spans="1:155" x14ac:dyDescent="0.25">
      <c r="A755" s="195" t="s">
        <v>1537</v>
      </c>
      <c r="B755" s="7" t="s">
        <v>1539</v>
      </c>
      <c r="C755" s="1">
        <v>-30</v>
      </c>
      <c r="D755" s="112" t="s">
        <v>1828</v>
      </c>
      <c r="E755" s="112"/>
      <c r="F755" s="112"/>
      <c r="G755" s="112"/>
      <c r="EK755" s="1">
        <v>30</v>
      </c>
    </row>
    <row r="756" spans="1:155" x14ac:dyDescent="0.25">
      <c r="A756" s="195" t="s">
        <v>1542</v>
      </c>
      <c r="B756" s="7" t="s">
        <v>1540</v>
      </c>
      <c r="C756" s="1">
        <v>-20000</v>
      </c>
      <c r="D756" s="112" t="s">
        <v>1829</v>
      </c>
      <c r="E756" s="112"/>
      <c r="F756" s="112"/>
      <c r="G756" s="112"/>
      <c r="AC756" s="4">
        <v>20000</v>
      </c>
    </row>
    <row r="757" spans="1:155" x14ac:dyDescent="0.25">
      <c r="A757" s="195" t="s">
        <v>1542</v>
      </c>
      <c r="B757" s="7" t="s">
        <v>1541</v>
      </c>
      <c r="C757" s="1">
        <v>-400</v>
      </c>
      <c r="D757" s="112" t="s">
        <v>1830</v>
      </c>
      <c r="E757" s="112"/>
      <c r="F757" s="112"/>
      <c r="G757" s="112"/>
      <c r="EY757" s="1">
        <v>400</v>
      </c>
    </row>
    <row r="758" spans="1:155" s="7" customFormat="1" x14ac:dyDescent="0.25">
      <c r="A758" s="11" t="s">
        <v>1542</v>
      </c>
      <c r="B758" s="7" t="s">
        <v>1543</v>
      </c>
      <c r="C758" s="7">
        <f>-640-120-65</f>
        <v>-825</v>
      </c>
      <c r="D758" s="112" t="s">
        <v>1831</v>
      </c>
      <c r="E758" s="112"/>
      <c r="F758" s="112"/>
      <c r="G758" s="112"/>
      <c r="CX758" s="7">
        <v>825</v>
      </c>
      <c r="DS758" s="14"/>
      <c r="DT758" s="14"/>
      <c r="DU758" s="14"/>
    </row>
    <row r="759" spans="1:155" s="7" customFormat="1" x14ac:dyDescent="0.25">
      <c r="A759" s="11" t="s">
        <v>1535</v>
      </c>
      <c r="B759" s="41" t="s">
        <v>1536</v>
      </c>
      <c r="C759" s="7">
        <v>600000</v>
      </c>
      <c r="D759" s="11" t="s">
        <v>1833</v>
      </c>
      <c r="E759" s="11"/>
      <c r="F759" s="11"/>
      <c r="G759" s="11"/>
      <c r="H759" s="7">
        <v>600000</v>
      </c>
      <c r="DS759" s="14"/>
      <c r="DT759" s="14"/>
      <c r="DU759" s="14"/>
    </row>
    <row r="760" spans="1:155" x14ac:dyDescent="0.25">
      <c r="A760" s="195" t="s">
        <v>1535</v>
      </c>
      <c r="B760" s="7" t="s">
        <v>1546</v>
      </c>
      <c r="C760" s="1">
        <v>-40</v>
      </c>
      <c r="D760" s="220" t="s">
        <v>1832</v>
      </c>
      <c r="CO760" s="1">
        <v>40</v>
      </c>
    </row>
    <row r="761" spans="1:155" x14ac:dyDescent="0.25">
      <c r="A761" s="195" t="s">
        <v>1535</v>
      </c>
      <c r="B761" s="41" t="s">
        <v>1454</v>
      </c>
      <c r="C761" s="1">
        <v>-582750</v>
      </c>
      <c r="D761" s="220" t="s">
        <v>1834</v>
      </c>
      <c r="AV761" s="1">
        <v>582750</v>
      </c>
    </row>
    <row r="762" spans="1:155" x14ac:dyDescent="0.25">
      <c r="A762" s="195" t="s">
        <v>1535</v>
      </c>
      <c r="B762" s="41" t="s">
        <v>1545</v>
      </c>
      <c r="C762" s="1">
        <v>-288</v>
      </c>
      <c r="D762" s="220" t="s">
        <v>1835</v>
      </c>
      <c r="EP762" s="1">
        <v>288</v>
      </c>
    </row>
    <row r="763" spans="1:155" x14ac:dyDescent="0.25">
      <c r="A763" s="195" t="s">
        <v>1535</v>
      </c>
      <c r="B763" s="18" t="s">
        <v>1544</v>
      </c>
      <c r="C763" s="1">
        <v>-100000</v>
      </c>
      <c r="D763" s="220" t="s">
        <v>1836</v>
      </c>
      <c r="AG763" s="1">
        <v>100000</v>
      </c>
    </row>
    <row r="764" spans="1:155" x14ac:dyDescent="0.25">
      <c r="A764" s="195" t="s">
        <v>1535</v>
      </c>
      <c r="B764" s="1" t="s">
        <v>1547</v>
      </c>
      <c r="C764" s="1">
        <v>-10000</v>
      </c>
      <c r="D764" s="220" t="s">
        <v>1837</v>
      </c>
      <c r="M764" s="1">
        <v>10000</v>
      </c>
    </row>
    <row r="765" spans="1:155" x14ac:dyDescent="0.25">
      <c r="A765" s="195" t="s">
        <v>1535</v>
      </c>
      <c r="B765" s="7" t="s">
        <v>1549</v>
      </c>
      <c r="C765" s="1">
        <v>-25</v>
      </c>
      <c r="D765" s="220" t="s">
        <v>1838</v>
      </c>
      <c r="CO765" s="1">
        <v>25</v>
      </c>
    </row>
    <row r="766" spans="1:155" x14ac:dyDescent="0.25">
      <c r="A766" s="195" t="s">
        <v>1550</v>
      </c>
      <c r="B766" s="7" t="s">
        <v>1429</v>
      </c>
      <c r="C766" s="1">
        <v>250000</v>
      </c>
      <c r="D766" s="11" t="s">
        <v>1840</v>
      </c>
      <c r="E766" s="11"/>
      <c r="F766" s="11"/>
      <c r="G766" s="11"/>
      <c r="BJ766" s="1">
        <v>250000</v>
      </c>
    </row>
    <row r="767" spans="1:155" x14ac:dyDescent="0.25">
      <c r="A767" s="195" t="s">
        <v>1550</v>
      </c>
      <c r="B767" s="7" t="s">
        <v>1551</v>
      </c>
      <c r="C767" s="1">
        <v>-220000</v>
      </c>
      <c r="D767" s="220" t="s">
        <v>1839</v>
      </c>
      <c r="AP767" s="1">
        <v>220000</v>
      </c>
    </row>
    <row r="768" spans="1:155" x14ac:dyDescent="0.25">
      <c r="A768" s="195" t="s">
        <v>1550</v>
      </c>
      <c r="B768" s="7" t="s">
        <v>1552</v>
      </c>
      <c r="C768" s="1">
        <v>-85</v>
      </c>
      <c r="D768" s="220" t="s">
        <v>1841</v>
      </c>
      <c r="EK768" s="1">
        <v>85</v>
      </c>
    </row>
    <row r="769" spans="1:185" x14ac:dyDescent="0.25">
      <c r="A769" s="195" t="s">
        <v>1550</v>
      </c>
      <c r="B769" s="18" t="s">
        <v>932</v>
      </c>
      <c r="C769" s="1">
        <v>-49000</v>
      </c>
      <c r="D769" s="220" t="s">
        <v>1842</v>
      </c>
      <c r="AO769" s="1">
        <v>49000</v>
      </c>
    </row>
    <row r="770" spans="1:185" x14ac:dyDescent="0.25">
      <c r="A770" s="195" t="s">
        <v>1550</v>
      </c>
      <c r="B770" s="7" t="s">
        <v>1511</v>
      </c>
      <c r="C770" s="1">
        <v>-100</v>
      </c>
      <c r="D770" s="220" t="s">
        <v>1843</v>
      </c>
      <c r="EH770" s="1">
        <v>100</v>
      </c>
    </row>
    <row r="771" spans="1:185" x14ac:dyDescent="0.25">
      <c r="A771" s="223" t="s">
        <v>1550</v>
      </c>
      <c r="B771" s="7" t="s">
        <v>2083</v>
      </c>
      <c r="C771" s="1">
        <f>850+1000+900</f>
        <v>2750</v>
      </c>
      <c r="D771" s="223" t="s">
        <v>2084</v>
      </c>
      <c r="GC771" s="1">
        <v>2750</v>
      </c>
    </row>
    <row r="772" spans="1:185" x14ac:dyDescent="0.25">
      <c r="A772" s="223" t="s">
        <v>1550</v>
      </c>
      <c r="B772" s="7" t="s">
        <v>1728</v>
      </c>
      <c r="C772" s="1">
        <v>-2750</v>
      </c>
      <c r="D772" s="223" t="s">
        <v>2085</v>
      </c>
      <c r="AC772" s="1">
        <v>2750</v>
      </c>
    </row>
    <row r="773" spans="1:185" x14ac:dyDescent="0.25">
      <c r="A773" s="214" t="s">
        <v>1550</v>
      </c>
      <c r="B773" s="84" t="s">
        <v>2086</v>
      </c>
      <c r="AC773" s="1">
        <v>-1321945</v>
      </c>
    </row>
    <row r="774" spans="1:185" s="7" customFormat="1" x14ac:dyDescent="0.25">
      <c r="A774" s="11"/>
      <c r="B774" s="7" t="s">
        <v>2043</v>
      </c>
      <c r="D774" s="11"/>
      <c r="E774" s="11"/>
      <c r="F774" s="11"/>
      <c r="G774" s="11"/>
      <c r="DS774" s="14"/>
      <c r="DT774" s="14"/>
      <c r="DU774" s="14"/>
      <c r="EK774" s="7">
        <f>70+90+84+30+40+90+90+30+200+200+90+200+500+40+90+350+120+10+900+260+570+200+65+200+483+90+240+392+60+1000+120+388+90+500+30+2500+165+200+125+90+200+60+1440+200+150+200+200+120+380+1600+300+60+200+465+220+1455+300+200+860+200+200+320+20+1490+72+200+1340+200+2000+200+28+329+220+60+2000+2000+2000+40+980+200+2000+200+60+90+90+200+400+200+2000+225+200+190+150+200+75+200+105+200+35+2000+2000+130+200+100+250+200+200+350+40+200+125+180+200+45+30+175+200+200+1500+40+170+200+200+85+20+2000+100+510+30+30+110+200+200+360+1000+1055+90+200+400+888+200</f>
        <v>56934</v>
      </c>
    </row>
    <row r="775" spans="1:185" s="7" customFormat="1" x14ac:dyDescent="0.25">
      <c r="A775" s="11"/>
      <c r="B775" s="7" t="s">
        <v>1654</v>
      </c>
      <c r="D775" s="11"/>
      <c r="E775" s="11"/>
      <c r="F775" s="11"/>
      <c r="G775" s="11"/>
      <c r="DS775" s="14"/>
      <c r="DT775" s="14"/>
      <c r="DU775" s="14"/>
      <c r="GA775" s="7">
        <f>2500+3000+10000+3000+3000</f>
        <v>21500</v>
      </c>
    </row>
    <row r="776" spans="1:185" s="7" customFormat="1" x14ac:dyDescent="0.25">
      <c r="A776" s="11"/>
      <c r="B776" s="7" t="s">
        <v>1681</v>
      </c>
      <c r="D776" s="11"/>
      <c r="E776" s="11"/>
      <c r="F776" s="11"/>
      <c r="G776" s="11"/>
      <c r="DS776" s="14"/>
      <c r="DT776" s="14"/>
      <c r="DU776" s="14"/>
      <c r="EL776" s="7">
        <f>500+800+2150+1750+500+120+350+3800+7600+1250+4830+100+100+500+460+600+500</f>
        <v>25910</v>
      </c>
    </row>
    <row r="777" spans="1:185" s="7" customFormat="1" x14ac:dyDescent="0.25">
      <c r="A777" s="11"/>
      <c r="B777" s="7" t="s">
        <v>703</v>
      </c>
      <c r="D777" s="11"/>
      <c r="E777" s="11"/>
      <c r="F777" s="11"/>
      <c r="G777" s="11"/>
      <c r="DS777" s="14"/>
      <c r="DT777" s="14"/>
      <c r="DU777" s="14"/>
    </row>
    <row r="778" spans="1:185" s="7" customFormat="1" x14ac:dyDescent="0.25">
      <c r="A778" s="11"/>
      <c r="B778" s="7" t="s">
        <v>2155</v>
      </c>
      <c r="D778" s="11"/>
      <c r="E778" s="11"/>
      <c r="F778" s="11"/>
      <c r="G778" s="11"/>
      <c r="N778" s="7">
        <f>1000+1000+1000</f>
        <v>3000</v>
      </c>
      <c r="DS778" s="14"/>
      <c r="DT778" s="14"/>
      <c r="DU778" s="14"/>
    </row>
    <row r="779" spans="1:185" s="7" customFormat="1" x14ac:dyDescent="0.25">
      <c r="A779" s="11"/>
      <c r="B779" s="7" t="s">
        <v>2156</v>
      </c>
      <c r="D779" s="11"/>
      <c r="E779" s="11"/>
      <c r="F779" s="11"/>
      <c r="G779" s="11"/>
      <c r="P779" s="7">
        <f>1000+500</f>
        <v>1500</v>
      </c>
      <c r="DS779" s="14"/>
      <c r="DT779" s="14"/>
      <c r="DU779" s="14"/>
    </row>
    <row r="780" spans="1:185" s="7" customFormat="1" x14ac:dyDescent="0.25">
      <c r="A780" s="11"/>
      <c r="B780" s="7" t="s">
        <v>2157</v>
      </c>
      <c r="D780" s="11"/>
      <c r="E780" s="11"/>
      <c r="F780" s="11"/>
      <c r="G780" s="11"/>
      <c r="J780" s="7">
        <f>2000+9000+2000</f>
        <v>13000</v>
      </c>
      <c r="DS780" s="14"/>
      <c r="DT780" s="14"/>
      <c r="DU780" s="14"/>
    </row>
    <row r="781" spans="1:185" s="7" customFormat="1" x14ac:dyDescent="0.25">
      <c r="A781" s="11"/>
      <c r="B781" s="7" t="s">
        <v>2158</v>
      </c>
      <c r="D781" s="11"/>
      <c r="E781" s="11"/>
      <c r="F781" s="11"/>
      <c r="G781" s="11"/>
      <c r="O781" s="7">
        <f>5000+500+3000</f>
        <v>8500</v>
      </c>
      <c r="DS781" s="14"/>
      <c r="DT781" s="14"/>
      <c r="DU781" s="14"/>
    </row>
    <row r="782" spans="1:185" s="7" customFormat="1" x14ac:dyDescent="0.25">
      <c r="A782" s="11"/>
      <c r="B782" s="7" t="s">
        <v>2154</v>
      </c>
      <c r="D782" s="11"/>
      <c r="E782" s="11"/>
      <c r="F782" s="11"/>
      <c r="G782" s="11"/>
      <c r="Q782" s="7">
        <f>500+2000+5000</f>
        <v>7500</v>
      </c>
      <c r="DS782" s="14"/>
      <c r="DT782" s="14"/>
      <c r="DU782" s="14"/>
    </row>
    <row r="783" spans="1:185" s="7" customFormat="1" x14ac:dyDescent="0.25">
      <c r="A783" s="11"/>
      <c r="B783" s="7" t="s">
        <v>2159</v>
      </c>
      <c r="D783" s="11"/>
      <c r="E783" s="11"/>
      <c r="F783" s="11"/>
      <c r="G783" s="11"/>
      <c r="K783" s="7">
        <f>500+2000+500+4000</f>
        <v>7000</v>
      </c>
      <c r="DS783" s="14"/>
      <c r="DT783" s="14"/>
      <c r="DU783" s="14"/>
    </row>
    <row r="784" spans="1:185" s="7" customFormat="1" x14ac:dyDescent="0.25">
      <c r="A784" s="11"/>
      <c r="B784" s="7" t="s">
        <v>2160</v>
      </c>
      <c r="D784" s="11"/>
      <c r="E784" s="11"/>
      <c r="F784" s="11"/>
      <c r="G784" s="11"/>
      <c r="L784" s="7">
        <f>1500</f>
        <v>1500</v>
      </c>
      <c r="DS784" s="14"/>
      <c r="DT784" s="14"/>
      <c r="DU784" s="14"/>
    </row>
    <row r="785" spans="1:184" s="7" customFormat="1" x14ac:dyDescent="0.25">
      <c r="A785" s="11"/>
      <c r="B785" s="7" t="s">
        <v>2161</v>
      </c>
      <c r="D785" s="11"/>
      <c r="E785" s="11"/>
      <c r="F785" s="11"/>
      <c r="G785" s="11"/>
      <c r="R785" s="7">
        <f>2500</f>
        <v>2500</v>
      </c>
      <c r="DS785" s="14"/>
      <c r="DT785" s="14"/>
      <c r="DU785" s="14"/>
    </row>
    <row r="786" spans="1:184" s="7" customFormat="1" x14ac:dyDescent="0.25">
      <c r="A786" s="11"/>
      <c r="B786" s="7" t="s">
        <v>1683</v>
      </c>
      <c r="D786" s="11"/>
      <c r="E786" s="11"/>
      <c r="F786" s="11"/>
      <c r="G786" s="11"/>
      <c r="DS786" s="14"/>
      <c r="DT786" s="14"/>
      <c r="DU786" s="14"/>
      <c r="FE786" s="7">
        <f>100+5000+5000+1200+2000+200+70+1920+2500+4330+510+2000+7983+6520+135+25+25+25+160+120+160+250+130+100+80+200+60+100+80+18+160+60+140+3000+140+1090+30+340+2000+2270+150+50+160+2000+1000+1500+1700+240+1500+965+685+150+650+3000+995+40+2000+3000+500+1000+1500+100+8000+1500+250+3500+250+80+240+150+245+240</f>
        <v>87571</v>
      </c>
    </row>
    <row r="787" spans="1:184" s="7" customFormat="1" x14ac:dyDescent="0.25">
      <c r="A787" s="11"/>
      <c r="B787" s="7" t="s">
        <v>1682</v>
      </c>
      <c r="D787" s="11"/>
      <c r="E787" s="11"/>
      <c r="F787" s="11"/>
      <c r="G787" s="11"/>
      <c r="DS787" s="14"/>
      <c r="DT787" s="14"/>
      <c r="DU787" s="14"/>
      <c r="EX787" s="7">
        <f>2500+666</f>
        <v>3166</v>
      </c>
    </row>
    <row r="788" spans="1:184" s="7" customFormat="1" x14ac:dyDescent="0.25">
      <c r="A788" s="11"/>
      <c r="B788" s="7" t="s">
        <v>1655</v>
      </c>
      <c r="D788" s="11"/>
      <c r="E788" s="11"/>
      <c r="F788" s="11"/>
      <c r="G788" s="11"/>
      <c r="DS788" s="14"/>
      <c r="DT788" s="14"/>
      <c r="DU788" s="14"/>
      <c r="GB788" s="7">
        <f>1500+750+3230+1800+1080+1080+4150+3570+1080+1100+1080+750+1800+3230+600+1070+3013+1070+1500+1070+3300+1070+7880+600+4250+750+2655</f>
        <v>55028</v>
      </c>
    </row>
    <row r="789" spans="1:184" s="7" customFormat="1" x14ac:dyDescent="0.25">
      <c r="A789" s="11"/>
      <c r="B789" s="7" t="s">
        <v>1685</v>
      </c>
      <c r="D789" s="11"/>
      <c r="E789" s="11"/>
      <c r="F789" s="11"/>
      <c r="G789" s="11"/>
      <c r="DS789" s="14"/>
      <c r="DT789" s="14"/>
      <c r="DU789" s="14"/>
      <c r="FK789" s="7">
        <f>270+50+750+700+500+200+50+50+600+1480+700+600+400+700</f>
        <v>7050</v>
      </c>
    </row>
    <row r="790" spans="1:184" s="110" customFormat="1" ht="30" x14ac:dyDescent="0.25">
      <c r="A790" s="112"/>
      <c r="B790" s="162" t="s">
        <v>1689</v>
      </c>
      <c r="D790" s="112"/>
      <c r="E790" s="112"/>
      <c r="F790" s="112"/>
      <c r="G790" s="112"/>
      <c r="DS790" s="113"/>
      <c r="DT790" s="113"/>
      <c r="DU790" s="113"/>
      <c r="FA790" s="110">
        <f>9430+23600+15360+16600</f>
        <v>64990</v>
      </c>
      <c r="FB790" s="110">
        <f>9500+16500+6400+5750+21400+34500</f>
        <v>94050</v>
      </c>
      <c r="FC790" s="110">
        <f>9400+1800+6420+1450+4440+4440+500+16+1790+800+16220+850+50+3870+4070+859+5520+600+2450+2120+1350+2100+6150+160+1180+3200+180+868+1200+256+1050+265+4000+20+700+800+19290+520+500+400+250+750+350+5900+250+20+8750+750+2000+700+3100+2000+620+600+960+770+900+605+780+258+198+2000+18+1680+1600+40+600+220+4050+130+1200+3620+150+340+2520+1130+600+400+350+150+168+2800+700+800+5775+1580+3060+1515+5600+1800+6400+20+1200+13998+1200+200+400+100+40+8000+2700+2625+1035+150+1400+540+300+100+11000+2270+1090+110+1200+170+8000+170+4800+250+200+2200+2100+140+5430+170+370+4800+500+4175+2100+350+1200+2147+1400+5900+3110+260+700+6910+14120+2500+120+480+3750+4050+3800+1300+380+2160+45+1700+855+60+50+1300+930+800+1000+600+45+1180+750+190+1000+30100+1100+13677+5960+2000+550+1300+13400</f>
        <v>411843</v>
      </c>
    </row>
    <row r="791" spans="1:184" s="7" customFormat="1" x14ac:dyDescent="0.25">
      <c r="A791" s="11"/>
      <c r="B791" s="7" t="s">
        <v>1684</v>
      </c>
      <c r="D791" s="11"/>
      <c r="E791" s="11"/>
      <c r="F791" s="11"/>
      <c r="G791" s="11"/>
      <c r="DS791" s="14"/>
      <c r="DT791" s="14"/>
      <c r="DU791" s="14"/>
      <c r="ER791" s="7">
        <f>500+6000+350+250+3040+15000+2000+200+3000+200+4300+700+70+5000+1010+120+2000+100+1180+100+200</f>
        <v>45320</v>
      </c>
    </row>
    <row r="792" spans="1:184" s="7" customFormat="1" x14ac:dyDescent="0.25">
      <c r="A792" s="11"/>
      <c r="B792" s="7" t="s">
        <v>1688</v>
      </c>
      <c r="D792" s="11"/>
      <c r="E792" s="11"/>
      <c r="F792" s="11"/>
      <c r="G792" s="11"/>
      <c r="DS792" s="14"/>
      <c r="DT792" s="14"/>
      <c r="DU792" s="14"/>
      <c r="ES792" s="7">
        <f>1100+350+1000+3800+1000+5500+1000+1000+100+27200+1000+6050+1000+5600+5600+1000+500+300+6800+1000+2200+1000+13600+900+1000</f>
        <v>89600</v>
      </c>
    </row>
    <row r="793" spans="1:184" s="7" customFormat="1" x14ac:dyDescent="0.25">
      <c r="A793" s="11"/>
      <c r="B793" s="7" t="s">
        <v>2048</v>
      </c>
      <c r="D793" s="11"/>
      <c r="E793" s="11"/>
      <c r="F793" s="11"/>
      <c r="G793" s="11"/>
      <c r="DS793" s="14"/>
      <c r="DT793" s="14"/>
      <c r="DU793" s="14"/>
      <c r="FL793" s="7">
        <f>300+540+160+150+50+230+125+230+60+105+290+410</f>
        <v>2650</v>
      </c>
    </row>
    <row r="794" spans="1:184" s="7" customFormat="1" x14ac:dyDescent="0.25">
      <c r="A794" s="11"/>
      <c r="B794" s="7" t="s">
        <v>1686</v>
      </c>
      <c r="D794" s="11"/>
      <c r="E794" s="11"/>
      <c r="F794" s="11"/>
      <c r="G794" s="11"/>
      <c r="DS794" s="14"/>
      <c r="DT794" s="14"/>
      <c r="DU794" s="14"/>
      <c r="EJ794" s="7">
        <f>16000+25000+1000+3000+17000+25000+10000</f>
        <v>97000</v>
      </c>
    </row>
    <row r="795" spans="1:184" s="7" customFormat="1" x14ac:dyDescent="0.25">
      <c r="A795" s="11"/>
      <c r="B795" s="7" t="s">
        <v>2087</v>
      </c>
      <c r="D795" s="11"/>
      <c r="E795" s="11"/>
      <c r="F795" s="11"/>
      <c r="G795" s="11"/>
      <c r="DS795" s="14"/>
      <c r="DT795" s="14"/>
      <c r="DU795" s="14"/>
      <c r="EG795" s="7">
        <f>740+300+1000+200+270+890+2261</f>
        <v>5661</v>
      </c>
    </row>
    <row r="796" spans="1:184" s="7" customFormat="1" x14ac:dyDescent="0.25">
      <c r="A796" s="11"/>
      <c r="B796" s="7" t="s">
        <v>2050</v>
      </c>
      <c r="D796" s="11"/>
      <c r="E796" s="11"/>
      <c r="F796" s="11"/>
      <c r="G796" s="11"/>
      <c r="DS796" s="14"/>
      <c r="DT796" s="14"/>
      <c r="DU796" s="14"/>
      <c r="FJ796" s="7">
        <f>12700+300+12500+100+20000+500+12000+13000+150</f>
        <v>71250</v>
      </c>
    </row>
    <row r="797" spans="1:184" s="7" customFormat="1" x14ac:dyDescent="0.25">
      <c r="A797" s="11"/>
      <c r="B797" s="7" t="s">
        <v>1701</v>
      </c>
      <c r="D797" s="11"/>
      <c r="E797" s="11"/>
      <c r="F797" s="11"/>
      <c r="G797" s="11"/>
      <c r="DS797" s="14"/>
      <c r="DT797" s="14"/>
      <c r="DU797" s="14"/>
      <c r="EM797" s="7">
        <f>4800+200+1866+600+300+300+300+60+500+500+300+3200+330+300+100+300+350+100+1000</f>
        <v>15406</v>
      </c>
    </row>
    <row r="798" spans="1:184" s="7" customFormat="1" x14ac:dyDescent="0.25">
      <c r="A798" s="11"/>
      <c r="B798" s="7" t="s">
        <v>1687</v>
      </c>
      <c r="D798" s="11"/>
      <c r="E798" s="11"/>
      <c r="F798" s="11"/>
      <c r="G798" s="11"/>
      <c r="DS798" s="14"/>
      <c r="DT798" s="14"/>
      <c r="DU798" s="14"/>
      <c r="FZ798" s="7">
        <f>200+600+150+1350+800+2500+100+1400+1600+4000+120+150+1200</f>
        <v>14170</v>
      </c>
    </row>
    <row r="799" spans="1:184" s="7" customFormat="1" x14ac:dyDescent="0.25">
      <c r="A799" s="11"/>
      <c r="B799" s="41" t="s">
        <v>2082</v>
      </c>
      <c r="D799" s="11"/>
      <c r="E799" s="11"/>
      <c r="F799" s="11"/>
      <c r="G799" s="11"/>
      <c r="DS799" s="14"/>
      <c r="DT799" s="14"/>
      <c r="DU799" s="14"/>
      <c r="EQ799" s="7">
        <f>1000+100+1000+300+1000+1000+40+100+150+700+700+300+100+100+200+50+150+200+200+200+190+100+100+1000+500+200</f>
        <v>9680</v>
      </c>
    </row>
    <row r="800" spans="1:184" s="7" customFormat="1" x14ac:dyDescent="0.25">
      <c r="A800" s="11"/>
      <c r="B800" s="7" t="s">
        <v>1690</v>
      </c>
      <c r="D800" s="11"/>
      <c r="E800" s="11"/>
      <c r="F800" s="11"/>
      <c r="G800" s="11"/>
      <c r="DS800" s="14"/>
      <c r="DT800" s="14"/>
      <c r="DU800" s="14"/>
      <c r="DY800" s="7">
        <v>15000</v>
      </c>
    </row>
    <row r="801" spans="1:199" s="7" customFormat="1" x14ac:dyDescent="0.25">
      <c r="A801" s="11"/>
      <c r="B801" s="7" t="s">
        <v>2049</v>
      </c>
      <c r="D801" s="11"/>
      <c r="E801" s="11"/>
      <c r="F801" s="11"/>
      <c r="G801" s="11"/>
      <c r="DS801" s="14"/>
      <c r="DT801" s="14"/>
      <c r="DU801" s="14"/>
      <c r="DW801" s="7">
        <f>12000+2000+1000+29166+700+300+1500+10000+500+1000+500+1000+1000+400+2000+15100+3000+200+300</f>
        <v>81666</v>
      </c>
    </row>
    <row r="802" spans="1:199" s="7" customFormat="1" x14ac:dyDescent="0.25">
      <c r="A802" s="11"/>
      <c r="B802" s="7" t="s">
        <v>2051</v>
      </c>
      <c r="D802" s="11"/>
      <c r="E802" s="11"/>
      <c r="F802" s="11"/>
      <c r="G802" s="11"/>
      <c r="DS802" s="14"/>
      <c r="DT802" s="14"/>
      <c r="DU802" s="14"/>
      <c r="EP802" s="7">
        <f>1000</f>
        <v>1000</v>
      </c>
    </row>
    <row r="803" spans="1:199" s="7" customFormat="1" x14ac:dyDescent="0.25">
      <c r="A803" s="11"/>
      <c r="B803" s="7" t="s">
        <v>37</v>
      </c>
      <c r="D803" s="11"/>
      <c r="E803" s="11"/>
      <c r="F803" s="11"/>
      <c r="G803" s="11"/>
      <c r="DS803" s="14"/>
      <c r="DT803" s="14"/>
      <c r="DU803" s="14"/>
      <c r="EH803" s="7">
        <f>1000</f>
        <v>1000</v>
      </c>
    </row>
    <row r="804" spans="1:199" x14ac:dyDescent="0.25">
      <c r="B804" s="1"/>
    </row>
    <row r="805" spans="1:199" s="3" customFormat="1" x14ac:dyDescent="0.25">
      <c r="A805" s="2"/>
      <c r="B805" s="85" t="s">
        <v>1564</v>
      </c>
      <c r="C805" s="3">
        <f>SUM(C645:C804)</f>
        <v>11922</v>
      </c>
      <c r="D805" s="3">
        <f t="shared" ref="D805:BS805" si="31">SUM(D645:D804)</f>
        <v>0</v>
      </c>
      <c r="H805" s="3">
        <f t="shared" si="31"/>
        <v>6550000</v>
      </c>
      <c r="I805" s="3">
        <f t="shared" si="31"/>
        <v>11000</v>
      </c>
      <c r="J805" s="3">
        <f t="shared" si="31"/>
        <v>13000</v>
      </c>
      <c r="K805" s="3">
        <f t="shared" si="31"/>
        <v>7000</v>
      </c>
      <c r="L805" s="3">
        <f t="shared" si="31"/>
        <v>1500</v>
      </c>
      <c r="M805" s="3">
        <f t="shared" si="31"/>
        <v>10000</v>
      </c>
      <c r="N805" s="3">
        <f t="shared" si="31"/>
        <v>3000</v>
      </c>
      <c r="O805" s="3">
        <f t="shared" si="31"/>
        <v>8500</v>
      </c>
      <c r="P805" s="3">
        <f t="shared" si="31"/>
        <v>1500</v>
      </c>
      <c r="Q805" s="3">
        <f t="shared" si="31"/>
        <v>7500</v>
      </c>
      <c r="R805" s="3">
        <f t="shared" si="31"/>
        <v>2500</v>
      </c>
      <c r="S805" s="3">
        <f t="shared" si="31"/>
        <v>0</v>
      </c>
      <c r="T805" s="3">
        <f t="shared" si="31"/>
        <v>0</v>
      </c>
      <c r="U805" s="3">
        <f t="shared" si="31"/>
        <v>6000</v>
      </c>
      <c r="V805" s="3">
        <f t="shared" si="31"/>
        <v>0</v>
      </c>
      <c r="W805" s="3">
        <f t="shared" si="31"/>
        <v>0</v>
      </c>
      <c r="Y805" s="3">
        <f t="shared" si="31"/>
        <v>0</v>
      </c>
      <c r="Z805" s="3">
        <f t="shared" si="31"/>
        <v>0</v>
      </c>
      <c r="AA805" s="3">
        <f t="shared" si="31"/>
        <v>0</v>
      </c>
      <c r="AB805" s="3">
        <f t="shared" si="31"/>
        <v>24000</v>
      </c>
      <c r="AC805" s="3">
        <f t="shared" si="31"/>
        <v>12029</v>
      </c>
      <c r="AD805" s="3">
        <f t="shared" si="31"/>
        <v>15500</v>
      </c>
      <c r="AE805" s="3">
        <f t="shared" si="31"/>
        <v>0</v>
      </c>
      <c r="AF805" s="3">
        <f t="shared" si="31"/>
        <v>1500</v>
      </c>
      <c r="AG805" s="3">
        <f t="shared" si="31"/>
        <v>1300000</v>
      </c>
      <c r="AH805" s="3">
        <f t="shared" si="31"/>
        <v>915000</v>
      </c>
      <c r="AI805" s="3">
        <f t="shared" si="31"/>
        <v>18230</v>
      </c>
      <c r="AJ805" s="3">
        <f t="shared" si="31"/>
        <v>2000</v>
      </c>
      <c r="AK805" s="3">
        <f t="shared" si="31"/>
        <v>29000</v>
      </c>
      <c r="AL805" s="3">
        <f t="shared" si="31"/>
        <v>910500</v>
      </c>
      <c r="AM805" s="3">
        <f t="shared" si="31"/>
        <v>40000</v>
      </c>
      <c r="AN805" s="3">
        <f t="shared" si="31"/>
        <v>392000</v>
      </c>
      <c r="AO805" s="3">
        <f t="shared" si="31"/>
        <v>187588</v>
      </c>
      <c r="AP805" s="3">
        <f t="shared" si="31"/>
        <v>220000</v>
      </c>
      <c r="AQ805" s="3">
        <f t="shared" si="31"/>
        <v>2591900</v>
      </c>
      <c r="AR805" s="3">
        <f t="shared" si="31"/>
        <v>59400</v>
      </c>
      <c r="AS805" s="3">
        <f t="shared" si="31"/>
        <v>1478667</v>
      </c>
      <c r="AT805" s="3">
        <f t="shared" si="31"/>
        <v>0</v>
      </c>
      <c r="AU805" s="3">
        <f t="shared" si="31"/>
        <v>806000</v>
      </c>
      <c r="AV805" s="3">
        <f t="shared" si="31"/>
        <v>1165500</v>
      </c>
      <c r="AW805" s="3">
        <f t="shared" si="31"/>
        <v>218500</v>
      </c>
      <c r="AX805" s="3">
        <f t="shared" si="31"/>
        <v>220000</v>
      </c>
      <c r="AY805" s="3">
        <f t="shared" si="31"/>
        <v>185000</v>
      </c>
      <c r="AZ805" s="3">
        <f t="shared" si="31"/>
        <v>170000</v>
      </c>
      <c r="BA805" s="3">
        <f t="shared" si="31"/>
        <v>120000</v>
      </c>
      <c r="BB805" s="3">
        <f t="shared" si="31"/>
        <v>53500</v>
      </c>
      <c r="BC805" s="3">
        <f t="shared" si="31"/>
        <v>0</v>
      </c>
      <c r="BD805" s="3">
        <f t="shared" si="31"/>
        <v>997500</v>
      </c>
      <c r="BE805" s="3">
        <f t="shared" si="31"/>
        <v>22000</v>
      </c>
      <c r="BF805" s="3">
        <f t="shared" si="31"/>
        <v>127592</v>
      </c>
      <c r="BG805" s="3">
        <f t="shared" si="31"/>
        <v>230000</v>
      </c>
      <c r="BH805" s="3">
        <f t="shared" si="31"/>
        <v>3500</v>
      </c>
      <c r="BI805" s="3">
        <f t="shared" si="31"/>
        <v>0</v>
      </c>
      <c r="BJ805" s="3">
        <f t="shared" si="31"/>
        <v>700000</v>
      </c>
      <c r="BK805" s="3">
        <f t="shared" si="31"/>
        <v>1400000</v>
      </c>
      <c r="BL805" s="3">
        <f t="shared" si="31"/>
        <v>500000</v>
      </c>
      <c r="BM805" s="3">
        <f t="shared" si="31"/>
        <v>500000</v>
      </c>
      <c r="BN805" s="3">
        <f t="shared" si="31"/>
        <v>0</v>
      </c>
      <c r="BO805" s="3">
        <f t="shared" si="31"/>
        <v>450000</v>
      </c>
      <c r="BP805" s="3">
        <f t="shared" si="31"/>
        <v>100000</v>
      </c>
      <c r="BQ805" s="3">
        <f t="shared" si="31"/>
        <v>0</v>
      </c>
      <c r="BR805" s="3">
        <f t="shared" si="31"/>
        <v>0</v>
      </c>
      <c r="BS805" s="3">
        <f t="shared" si="31"/>
        <v>0</v>
      </c>
      <c r="BT805" s="3">
        <f t="shared" ref="BT805:EJ805" si="32">SUM(BT645:BT804)</f>
        <v>0</v>
      </c>
      <c r="BU805" s="3">
        <f t="shared" si="32"/>
        <v>0</v>
      </c>
      <c r="BV805" s="3">
        <f t="shared" si="32"/>
        <v>0</v>
      </c>
      <c r="BW805" s="3">
        <f t="shared" si="32"/>
        <v>0</v>
      </c>
      <c r="BX805" s="3">
        <f t="shared" si="32"/>
        <v>0</v>
      </c>
      <c r="BY805" s="3">
        <f t="shared" si="32"/>
        <v>0</v>
      </c>
      <c r="BZ805" s="3">
        <f t="shared" si="32"/>
        <v>0</v>
      </c>
      <c r="CA805" s="3">
        <f t="shared" si="32"/>
        <v>0</v>
      </c>
      <c r="CB805" s="3">
        <f t="shared" si="32"/>
        <v>0</v>
      </c>
      <c r="CC805" s="3">
        <f t="shared" si="32"/>
        <v>0</v>
      </c>
      <c r="CD805" s="3">
        <f t="shared" si="32"/>
        <v>0</v>
      </c>
      <c r="CE805" s="3">
        <f t="shared" si="32"/>
        <v>0</v>
      </c>
      <c r="CF805" s="3">
        <f t="shared" si="32"/>
        <v>0</v>
      </c>
      <c r="CG805" s="3">
        <f t="shared" si="32"/>
        <v>0</v>
      </c>
      <c r="CH805" s="3">
        <f t="shared" si="32"/>
        <v>0</v>
      </c>
      <c r="CI805" s="3">
        <f t="shared" si="32"/>
        <v>0</v>
      </c>
      <c r="CJ805" s="3">
        <f t="shared" si="32"/>
        <v>0</v>
      </c>
      <c r="CK805" s="3">
        <f t="shared" si="32"/>
        <v>0</v>
      </c>
      <c r="CL805" s="3">
        <f t="shared" si="32"/>
        <v>0</v>
      </c>
      <c r="CM805" s="3">
        <f t="shared" si="32"/>
        <v>0</v>
      </c>
      <c r="CN805" s="3">
        <f t="shared" si="32"/>
        <v>0</v>
      </c>
      <c r="CO805" s="3">
        <f t="shared" si="32"/>
        <v>65</v>
      </c>
      <c r="CR805" s="3">
        <f t="shared" si="32"/>
        <v>0</v>
      </c>
      <c r="CS805" s="3">
        <f t="shared" si="32"/>
        <v>6000</v>
      </c>
      <c r="CT805" s="3">
        <f t="shared" si="32"/>
        <v>0</v>
      </c>
      <c r="CV805" s="3">
        <f t="shared" si="32"/>
        <v>0</v>
      </c>
      <c r="CW805" s="3">
        <f t="shared" si="32"/>
        <v>0</v>
      </c>
      <c r="CX805" s="3">
        <f t="shared" si="32"/>
        <v>825</v>
      </c>
      <c r="CY805" s="3">
        <f t="shared" si="32"/>
        <v>0</v>
      </c>
      <c r="CZ805" s="3">
        <f t="shared" si="32"/>
        <v>0</v>
      </c>
      <c r="DA805" s="3">
        <f t="shared" si="32"/>
        <v>32000</v>
      </c>
      <c r="DB805" s="3">
        <f t="shared" si="32"/>
        <v>0</v>
      </c>
      <c r="DC805" s="3">
        <f t="shared" si="32"/>
        <v>117490</v>
      </c>
      <c r="DD805" s="3">
        <f t="shared" si="32"/>
        <v>0</v>
      </c>
      <c r="DE805" s="3">
        <f t="shared" si="32"/>
        <v>0</v>
      </c>
      <c r="DF805" s="3">
        <f t="shared" si="32"/>
        <v>196</v>
      </c>
      <c r="DG805" s="3">
        <f t="shared" si="32"/>
        <v>18800</v>
      </c>
      <c r="DI805" s="3">
        <f t="shared" si="32"/>
        <v>140000</v>
      </c>
      <c r="DJ805" s="3">
        <f t="shared" si="32"/>
        <v>0</v>
      </c>
      <c r="DK805" s="3">
        <f t="shared" si="32"/>
        <v>199790</v>
      </c>
      <c r="DL805" s="3">
        <f t="shared" si="32"/>
        <v>157680</v>
      </c>
      <c r="DM805" s="3">
        <f t="shared" si="32"/>
        <v>53700</v>
      </c>
      <c r="DN805" s="3">
        <f t="shared" si="32"/>
        <v>27500</v>
      </c>
      <c r="DO805" s="3">
        <f t="shared" si="32"/>
        <v>455600</v>
      </c>
      <c r="DP805" s="3">
        <f t="shared" si="32"/>
        <v>0</v>
      </c>
      <c r="DQ805" s="3">
        <f t="shared" si="32"/>
        <v>0</v>
      </c>
      <c r="DR805" s="3">
        <f t="shared" si="32"/>
        <v>0</v>
      </c>
      <c r="DS805" s="3">
        <f t="shared" si="32"/>
        <v>0</v>
      </c>
      <c r="DT805" s="3">
        <f t="shared" si="32"/>
        <v>0</v>
      </c>
      <c r="DU805" s="3">
        <f t="shared" si="32"/>
        <v>0</v>
      </c>
      <c r="DV805" s="3">
        <f t="shared" si="32"/>
        <v>0</v>
      </c>
      <c r="DW805" s="3">
        <f t="shared" si="32"/>
        <v>81666</v>
      </c>
      <c r="DX805" s="3">
        <f t="shared" si="32"/>
        <v>0</v>
      </c>
      <c r="DY805" s="3">
        <f t="shared" si="32"/>
        <v>15000</v>
      </c>
      <c r="DZ805" s="3">
        <f t="shared" si="32"/>
        <v>24500</v>
      </c>
      <c r="EB805" s="3">
        <f t="shared" si="32"/>
        <v>0</v>
      </c>
      <c r="EC805" s="3">
        <f t="shared" si="32"/>
        <v>0</v>
      </c>
      <c r="ED805" s="3">
        <f t="shared" si="32"/>
        <v>0</v>
      </c>
      <c r="EE805" s="3">
        <f t="shared" si="32"/>
        <v>0</v>
      </c>
      <c r="EF805" s="3">
        <f t="shared" si="32"/>
        <v>0</v>
      </c>
      <c r="EG805" s="3">
        <f t="shared" si="32"/>
        <v>5661</v>
      </c>
      <c r="EH805" s="3">
        <f t="shared" si="32"/>
        <v>1300</v>
      </c>
      <c r="EI805" s="3">
        <f t="shared" si="32"/>
        <v>0</v>
      </c>
      <c r="EJ805" s="3">
        <f t="shared" si="32"/>
        <v>97000</v>
      </c>
      <c r="EK805" s="3">
        <f t="shared" ref="EK805:GD805" si="33">SUM(EK645:EK804)</f>
        <v>60357</v>
      </c>
      <c r="EL805" s="3">
        <f t="shared" si="33"/>
        <v>28010</v>
      </c>
      <c r="EM805" s="3">
        <f t="shared" si="33"/>
        <v>15406</v>
      </c>
      <c r="EN805" s="3">
        <f t="shared" si="33"/>
        <v>0</v>
      </c>
      <c r="EO805" s="3">
        <f t="shared" si="33"/>
        <v>0</v>
      </c>
      <c r="EP805" s="3">
        <f t="shared" si="33"/>
        <v>1901</v>
      </c>
      <c r="EQ805" s="3">
        <f t="shared" si="33"/>
        <v>9680</v>
      </c>
      <c r="ER805" s="3">
        <f t="shared" si="33"/>
        <v>45320</v>
      </c>
      <c r="ES805" s="3">
        <f t="shared" si="33"/>
        <v>107600</v>
      </c>
      <c r="ET805" s="3">
        <f t="shared" si="33"/>
        <v>0</v>
      </c>
      <c r="EU805" s="3">
        <f t="shared" si="33"/>
        <v>8900</v>
      </c>
      <c r="EV805" s="3">
        <f t="shared" si="33"/>
        <v>0</v>
      </c>
      <c r="EW805" s="3">
        <f t="shared" si="33"/>
        <v>4320</v>
      </c>
      <c r="EX805" s="3">
        <f t="shared" si="33"/>
        <v>3166</v>
      </c>
      <c r="EY805" s="3">
        <f t="shared" si="33"/>
        <v>680</v>
      </c>
      <c r="EZ805" s="3">
        <f t="shared" si="33"/>
        <v>0</v>
      </c>
      <c r="FA805" s="3">
        <f t="shared" si="33"/>
        <v>64990</v>
      </c>
      <c r="FB805" s="3">
        <f t="shared" si="33"/>
        <v>94050</v>
      </c>
      <c r="FC805" s="3">
        <f t="shared" si="33"/>
        <v>495093</v>
      </c>
      <c r="FD805" s="3">
        <f t="shared" si="33"/>
        <v>0</v>
      </c>
      <c r="FE805" s="3">
        <f t="shared" si="33"/>
        <v>101501</v>
      </c>
      <c r="FF805" s="3">
        <f t="shared" si="33"/>
        <v>0</v>
      </c>
      <c r="FG805" s="3">
        <f t="shared" si="33"/>
        <v>0</v>
      </c>
      <c r="FH805" s="3">
        <f t="shared" si="33"/>
        <v>70000</v>
      </c>
      <c r="FI805" s="3">
        <f t="shared" si="33"/>
        <v>0</v>
      </c>
      <c r="FJ805" s="3">
        <f t="shared" si="33"/>
        <v>71250</v>
      </c>
      <c r="FK805" s="3">
        <f t="shared" si="33"/>
        <v>7050</v>
      </c>
      <c r="FL805" s="3">
        <f t="shared" si="33"/>
        <v>2750</v>
      </c>
      <c r="FM805" s="3">
        <f t="shared" si="33"/>
        <v>0</v>
      </c>
      <c r="FN805" s="3">
        <f t="shared" si="33"/>
        <v>0</v>
      </c>
      <c r="FO805" s="3">
        <f t="shared" si="33"/>
        <v>0</v>
      </c>
      <c r="FP805" s="3">
        <f t="shared" si="33"/>
        <v>0</v>
      </c>
      <c r="FQ805" s="3">
        <f t="shared" si="33"/>
        <v>0</v>
      </c>
      <c r="FR805" s="3">
        <f t="shared" si="33"/>
        <v>0</v>
      </c>
      <c r="FS805" s="3">
        <f t="shared" si="33"/>
        <v>0</v>
      </c>
      <c r="FT805" s="3">
        <f t="shared" si="33"/>
        <v>47500</v>
      </c>
      <c r="FU805" s="3">
        <f t="shared" si="33"/>
        <v>0</v>
      </c>
      <c r="FV805" s="3">
        <f t="shared" si="33"/>
        <v>0</v>
      </c>
      <c r="FW805" s="3">
        <f t="shared" si="33"/>
        <v>0</v>
      </c>
      <c r="FX805" s="3">
        <f t="shared" si="33"/>
        <v>0</v>
      </c>
      <c r="FY805" s="3">
        <f t="shared" si="33"/>
        <v>0</v>
      </c>
      <c r="FZ805" s="3">
        <f t="shared" si="33"/>
        <v>14420</v>
      </c>
      <c r="GA805" s="3">
        <f t="shared" si="33"/>
        <v>21500</v>
      </c>
      <c r="GB805" s="3">
        <f t="shared" si="33"/>
        <v>55028</v>
      </c>
      <c r="GC805" s="3">
        <f t="shared" si="33"/>
        <v>2750</v>
      </c>
      <c r="GD805" s="3">
        <f t="shared" si="33"/>
        <v>3197500</v>
      </c>
    </row>
    <row r="810" spans="1:199" x14ac:dyDescent="0.25">
      <c r="H810" s="8"/>
      <c r="I810" s="378" t="s">
        <v>205</v>
      </c>
      <c r="J810" s="378"/>
      <c r="K810" s="378"/>
      <c r="L810" s="378"/>
      <c r="M810" s="378"/>
      <c r="N810" s="378"/>
      <c r="O810" s="378"/>
      <c r="P810" s="378"/>
      <c r="Q810" s="378"/>
      <c r="R810" s="378"/>
      <c r="S810" s="378"/>
      <c r="T810" s="378"/>
      <c r="U810" s="378"/>
      <c r="V810" s="378"/>
      <c r="W810" s="378"/>
      <c r="X810" s="378"/>
      <c r="Y810" s="378"/>
      <c r="Z810" s="378" t="s">
        <v>90</v>
      </c>
      <c r="AA810" s="378"/>
      <c r="AB810" s="378"/>
      <c r="AC810" s="378"/>
      <c r="AD810" s="378"/>
      <c r="AE810" s="378"/>
      <c r="AF810" s="378"/>
      <c r="AG810" s="378"/>
      <c r="AH810" s="378"/>
      <c r="AI810" s="378"/>
      <c r="AJ810" s="378"/>
      <c r="AK810" s="378"/>
      <c r="AL810" s="378"/>
      <c r="AM810" s="378"/>
      <c r="AN810" s="378"/>
      <c r="AO810" s="378"/>
      <c r="AP810" s="378"/>
      <c r="AQ810" s="378"/>
      <c r="AR810" s="378"/>
      <c r="AS810" s="378"/>
      <c r="AT810" s="378"/>
      <c r="AU810" s="378"/>
      <c r="AV810" s="378"/>
      <c r="AW810" s="378"/>
      <c r="AX810" s="378"/>
      <c r="AY810" s="378"/>
      <c r="AZ810" s="378"/>
      <c r="BA810" s="378"/>
      <c r="BB810" s="378"/>
      <c r="BC810" s="378"/>
      <c r="BD810" s="378"/>
      <c r="BE810" s="378"/>
      <c r="BF810" s="378"/>
      <c r="BG810" s="378"/>
      <c r="BH810" s="378"/>
      <c r="BI810" s="378" t="s">
        <v>77</v>
      </c>
      <c r="BJ810" s="378"/>
      <c r="BK810" s="378"/>
      <c r="BL810" s="378"/>
      <c r="BM810" s="378"/>
      <c r="BN810" s="378" t="s">
        <v>65</v>
      </c>
      <c r="BO810" s="378"/>
      <c r="BP810" s="378"/>
      <c r="BQ810" s="378" t="s">
        <v>15</v>
      </c>
      <c r="BR810" s="378"/>
      <c r="BS810" s="378"/>
      <c r="BT810" s="378"/>
      <c r="BU810" s="378"/>
      <c r="BV810" s="378"/>
      <c r="BW810" s="378"/>
      <c r="BX810" s="378"/>
      <c r="BY810" s="378"/>
      <c r="BZ810" s="378"/>
      <c r="CA810" s="378"/>
      <c r="CB810" s="378"/>
      <c r="CC810" s="378"/>
      <c r="CD810" s="378"/>
      <c r="CE810" s="378" t="s">
        <v>4</v>
      </c>
      <c r="CF810" s="378"/>
      <c r="CG810" s="378"/>
      <c r="CH810" s="378"/>
      <c r="CI810" s="378"/>
      <c r="CJ810" s="378"/>
      <c r="CK810" s="378"/>
      <c r="CL810" s="378"/>
      <c r="CM810" s="378"/>
      <c r="CN810" s="378"/>
      <c r="CO810" s="378" t="s">
        <v>21</v>
      </c>
      <c r="CP810" s="378"/>
      <c r="CQ810" s="378"/>
      <c r="CR810" s="378"/>
      <c r="CS810" s="378"/>
      <c r="CT810" s="378"/>
      <c r="CU810" s="378"/>
      <c r="CV810" s="378"/>
      <c r="CW810" s="378"/>
      <c r="CX810" s="378"/>
      <c r="CY810" s="378"/>
      <c r="CZ810" s="378"/>
      <c r="DA810" s="378"/>
      <c r="DB810" s="378"/>
      <c r="DC810" s="378"/>
      <c r="DD810" s="378"/>
      <c r="DE810" s="378"/>
      <c r="DF810" s="378"/>
      <c r="DG810" s="378"/>
      <c r="DH810" s="378"/>
      <c r="DI810" s="378"/>
      <c r="DK810" s="171"/>
      <c r="DL810" s="171"/>
      <c r="DM810" s="171"/>
      <c r="DN810" s="171"/>
      <c r="DO810" s="171"/>
      <c r="DP810" s="374" t="s">
        <v>317</v>
      </c>
      <c r="DQ810" s="374"/>
      <c r="DR810" s="374"/>
      <c r="DS810" s="374"/>
      <c r="DT810" s="374"/>
      <c r="DU810" s="374"/>
      <c r="DV810" s="374"/>
      <c r="DW810" s="374"/>
      <c r="DX810" s="374"/>
      <c r="DY810" s="374"/>
      <c r="DZ810" s="374"/>
      <c r="EA810" s="374"/>
      <c r="EB810" s="374"/>
      <c r="EC810" s="374"/>
      <c r="ED810" s="374"/>
      <c r="EE810" s="374"/>
      <c r="EF810" s="374"/>
      <c r="EG810" s="374"/>
      <c r="EH810" s="374"/>
      <c r="EI810" s="374"/>
      <c r="EJ810" s="374"/>
      <c r="EK810" s="374"/>
      <c r="EL810" s="374"/>
      <c r="EM810" s="374"/>
      <c r="EN810" s="374"/>
      <c r="EO810" s="374"/>
      <c r="EP810" s="374"/>
      <c r="EQ810" s="374"/>
      <c r="ER810" s="374"/>
      <c r="ES810" s="374"/>
      <c r="ET810" s="374"/>
      <c r="EU810" s="374"/>
      <c r="EV810" s="374"/>
      <c r="EW810" s="374"/>
      <c r="EX810" s="374"/>
      <c r="EY810" s="374"/>
      <c r="EZ810" s="374"/>
      <c r="FA810" s="374"/>
      <c r="FB810" s="374"/>
      <c r="FC810" s="374"/>
      <c r="FD810" s="374"/>
      <c r="FE810" s="374"/>
      <c r="FF810" s="374"/>
      <c r="FG810" s="374"/>
      <c r="FH810" s="374"/>
      <c r="FI810" s="374"/>
      <c r="FJ810" s="374"/>
      <c r="FK810" s="374"/>
      <c r="FL810" s="374"/>
      <c r="FM810" s="374"/>
      <c r="FN810" s="374"/>
      <c r="FO810" s="374"/>
      <c r="FP810" s="374"/>
      <c r="FQ810" s="374"/>
      <c r="FR810" s="374"/>
      <c r="FS810" s="374"/>
      <c r="FT810" s="374"/>
      <c r="FU810" s="374"/>
      <c r="FV810" s="374"/>
      <c r="FW810" s="374"/>
      <c r="FX810" s="374"/>
      <c r="FY810" s="172"/>
      <c r="FZ810" s="172"/>
      <c r="GA810" s="185"/>
      <c r="GB810" s="185"/>
      <c r="GC810" s="191"/>
      <c r="GD810" s="58"/>
      <c r="GE810" s="58"/>
    </row>
    <row r="811" spans="1:199" s="171" customFormat="1" x14ac:dyDescent="0.25">
      <c r="A811" s="195" t="s">
        <v>0</v>
      </c>
      <c r="B811" s="171" t="s">
        <v>5</v>
      </c>
      <c r="C811" s="171" t="s">
        <v>89</v>
      </c>
      <c r="D811" s="220" t="s">
        <v>95</v>
      </c>
      <c r="E811" s="247"/>
      <c r="F811" s="260"/>
      <c r="G811" s="260"/>
      <c r="H811" s="171" t="s">
        <v>28</v>
      </c>
      <c r="I811" s="214" t="s">
        <v>382</v>
      </c>
      <c r="J811" s="214" t="s">
        <v>2044</v>
      </c>
      <c r="K811" s="214" t="s">
        <v>2045</v>
      </c>
      <c r="L811" s="214" t="s">
        <v>2046</v>
      </c>
      <c r="M811" s="214" t="s">
        <v>1548</v>
      </c>
      <c r="N811" s="214" t="s">
        <v>1658</v>
      </c>
      <c r="O811" s="214" t="s">
        <v>1660</v>
      </c>
      <c r="P811" s="214" t="s">
        <v>1659</v>
      </c>
      <c r="Q811" s="214" t="s">
        <v>705</v>
      </c>
      <c r="R811" s="214" t="s">
        <v>1661</v>
      </c>
      <c r="S811" s="214" t="s">
        <v>93</v>
      </c>
      <c r="T811" s="214" t="s">
        <v>567</v>
      </c>
      <c r="U811" s="214" t="s">
        <v>1368</v>
      </c>
      <c r="V811" s="214" t="s">
        <v>353</v>
      </c>
      <c r="W811" s="214" t="s">
        <v>206</v>
      </c>
      <c r="X811" s="240" t="s">
        <v>2204</v>
      </c>
      <c r="Y811" s="214" t="s">
        <v>207</v>
      </c>
      <c r="Z811" s="171" t="s">
        <v>91</v>
      </c>
      <c r="AA811" s="171" t="s">
        <v>261</v>
      </c>
      <c r="AB811" s="171" t="s">
        <v>606</v>
      </c>
      <c r="AC811" s="171" t="s">
        <v>938</v>
      </c>
      <c r="AD811" s="171" t="s">
        <v>674</v>
      </c>
      <c r="AE811" s="175" t="s">
        <v>1565</v>
      </c>
      <c r="AF811" s="171" t="s">
        <v>1507</v>
      </c>
      <c r="AG811" s="171" t="s">
        <v>531</v>
      </c>
      <c r="AH811" s="171" t="s">
        <v>541</v>
      </c>
      <c r="AI811" s="171" t="s">
        <v>382</v>
      </c>
      <c r="AJ811" s="171" t="s">
        <v>708</v>
      </c>
      <c r="AK811" s="171" t="s">
        <v>553</v>
      </c>
      <c r="AL811" s="171" t="s">
        <v>93</v>
      </c>
      <c r="AM811" s="171" t="s">
        <v>632</v>
      </c>
      <c r="AN811" s="240" t="s">
        <v>2191</v>
      </c>
      <c r="AO811" s="171" t="s">
        <v>931</v>
      </c>
      <c r="AP811" s="175" t="s">
        <v>1566</v>
      </c>
      <c r="AQ811" s="171" t="s">
        <v>635</v>
      </c>
      <c r="AR811" s="171" t="s">
        <v>1425</v>
      </c>
      <c r="AS811" s="171" t="s">
        <v>1530</v>
      </c>
      <c r="AT811" s="192" t="s">
        <v>1732</v>
      </c>
      <c r="AU811" s="171" t="s">
        <v>895</v>
      </c>
      <c r="AV811" s="171" t="s">
        <v>1459</v>
      </c>
      <c r="AW811" s="171" t="s">
        <v>1240</v>
      </c>
      <c r="AX811" s="171" t="s">
        <v>1505</v>
      </c>
      <c r="AY811" s="171" t="s">
        <v>556</v>
      </c>
      <c r="AZ811" s="171" t="s">
        <v>1434</v>
      </c>
      <c r="BA811" s="171" t="s">
        <v>640</v>
      </c>
      <c r="BB811" s="171" t="s">
        <v>552</v>
      </c>
      <c r="BC811" s="171" t="s">
        <v>565</v>
      </c>
      <c r="BD811" s="171" t="s">
        <v>597</v>
      </c>
      <c r="BE811" s="171" t="s">
        <v>488</v>
      </c>
      <c r="BF811" s="171" t="s">
        <v>1247</v>
      </c>
      <c r="BG811" s="171" t="s">
        <v>242</v>
      </c>
      <c r="BH811" s="171" t="s">
        <v>92</v>
      </c>
      <c r="BI811" s="171" t="s">
        <v>80</v>
      </c>
      <c r="BJ811" s="171" t="s">
        <v>1430</v>
      </c>
      <c r="BK811" s="171" t="s">
        <v>256</v>
      </c>
      <c r="BL811" s="171" t="s">
        <v>673</v>
      </c>
      <c r="BM811" s="171" t="s">
        <v>81</v>
      </c>
      <c r="BN811" s="171" t="s">
        <v>80</v>
      </c>
      <c r="BO811" s="171" t="s">
        <v>1430</v>
      </c>
      <c r="BP811" s="171" t="s">
        <v>81</v>
      </c>
      <c r="BQ811" s="171" t="s">
        <v>226</v>
      </c>
      <c r="BR811" s="171" t="s">
        <v>69</v>
      </c>
      <c r="BS811" s="171" t="s">
        <v>84</v>
      </c>
      <c r="BT811" s="171" t="s">
        <v>76</v>
      </c>
      <c r="BU811" s="171" t="s">
        <v>38</v>
      </c>
      <c r="BV811" s="171" t="s">
        <v>271</v>
      </c>
      <c r="BW811" s="171" t="s">
        <v>34</v>
      </c>
      <c r="BX811" s="171" t="s">
        <v>35</v>
      </c>
      <c r="BY811" s="171" t="s">
        <v>6</v>
      </c>
      <c r="BZ811" s="171" t="s">
        <v>82</v>
      </c>
      <c r="CA811" s="171" t="s">
        <v>63</v>
      </c>
      <c r="CB811" s="171" t="s">
        <v>68</v>
      </c>
      <c r="CC811" s="171" t="s">
        <v>221</v>
      </c>
      <c r="CD811" s="171" t="s">
        <v>83</v>
      </c>
      <c r="CE811" s="171" t="s">
        <v>37</v>
      </c>
      <c r="CF811" s="171" t="s">
        <v>74</v>
      </c>
      <c r="CG811" s="171" t="s">
        <v>39</v>
      </c>
      <c r="CH811" s="171" t="s">
        <v>6</v>
      </c>
      <c r="CI811" s="171" t="s">
        <v>38</v>
      </c>
      <c r="CJ811" s="171" t="s">
        <v>78</v>
      </c>
      <c r="CK811" s="171" t="s">
        <v>79</v>
      </c>
      <c r="CL811" s="171" t="s">
        <v>59</v>
      </c>
      <c r="CM811" s="171" t="s">
        <v>36</v>
      </c>
      <c r="CN811" s="171" t="s">
        <v>63</v>
      </c>
      <c r="CO811" s="171" t="s">
        <v>38</v>
      </c>
      <c r="CP811" s="338"/>
      <c r="CQ811" s="347"/>
      <c r="CR811" s="171" t="s">
        <v>6</v>
      </c>
      <c r="CS811" s="171" t="s">
        <v>37</v>
      </c>
      <c r="CT811" s="171" t="s">
        <v>1186</v>
      </c>
      <c r="CU811" s="359"/>
      <c r="CV811" s="171" t="s">
        <v>1189</v>
      </c>
      <c r="CW811" s="171" t="s">
        <v>39</v>
      </c>
      <c r="CX811" s="171" t="s">
        <v>690</v>
      </c>
      <c r="CY811" s="171" t="s">
        <v>19</v>
      </c>
      <c r="CZ811" s="230" t="s">
        <v>2125</v>
      </c>
      <c r="DA811" s="171" t="s">
        <v>68</v>
      </c>
      <c r="DB811" s="171" t="s">
        <v>323</v>
      </c>
      <c r="DC811" s="171" t="s">
        <v>69</v>
      </c>
      <c r="DD811" s="197" t="s">
        <v>1776</v>
      </c>
      <c r="DE811" s="220" t="s">
        <v>2065</v>
      </c>
      <c r="DF811" s="171" t="s">
        <v>377</v>
      </c>
      <c r="DG811" s="171" t="s">
        <v>1514</v>
      </c>
      <c r="DH811" s="354"/>
      <c r="DI811" s="171" t="s">
        <v>62</v>
      </c>
      <c r="DJ811" s="8" t="s">
        <v>392</v>
      </c>
      <c r="DK811" s="240" t="s">
        <v>2190</v>
      </c>
      <c r="DL811" s="171" t="s">
        <v>604</v>
      </c>
      <c r="DM811" s="171" t="s">
        <v>1132</v>
      </c>
      <c r="DN811" s="171" t="s">
        <v>1248</v>
      </c>
      <c r="DO811" s="171" t="s">
        <v>634</v>
      </c>
      <c r="DP811" s="171" t="s">
        <v>306</v>
      </c>
      <c r="DQ811" s="171" t="s">
        <v>896</v>
      </c>
      <c r="DR811" s="66" t="s">
        <v>307</v>
      </c>
      <c r="DS811" s="238" t="s">
        <v>2141</v>
      </c>
      <c r="DT811" s="238" t="s">
        <v>2142</v>
      </c>
      <c r="DU811" s="238" t="s">
        <v>2143</v>
      </c>
      <c r="DV811" s="171" t="s">
        <v>69</v>
      </c>
      <c r="DW811" s="186" t="s">
        <v>1672</v>
      </c>
      <c r="DX811" s="171" t="s">
        <v>84</v>
      </c>
      <c r="DY811" s="171" t="s">
        <v>712</v>
      </c>
      <c r="DZ811" s="171" t="s">
        <v>710</v>
      </c>
      <c r="EA811" s="240" t="s">
        <v>2203</v>
      </c>
      <c r="EB811" s="223" t="s">
        <v>2093</v>
      </c>
      <c r="EC811" s="171" t="s">
        <v>1289</v>
      </c>
      <c r="ED811" s="171" t="s">
        <v>902</v>
      </c>
      <c r="EE811" s="171" t="s">
        <v>888</v>
      </c>
      <c r="EF811" s="171" t="s">
        <v>624</v>
      </c>
      <c r="EG811" s="171" t="s">
        <v>699</v>
      </c>
      <c r="EH811" s="171" t="s">
        <v>37</v>
      </c>
      <c r="EI811" s="223" t="s">
        <v>2089</v>
      </c>
      <c r="EJ811" s="171" t="s">
        <v>76</v>
      </c>
      <c r="EK811" s="171" t="s">
        <v>38</v>
      </c>
      <c r="EL811" s="171" t="s">
        <v>611</v>
      </c>
      <c r="EM811" s="171" t="s">
        <v>612</v>
      </c>
      <c r="EN811" s="171" t="s">
        <v>613</v>
      </c>
      <c r="EO811" s="171" t="s">
        <v>620</v>
      </c>
      <c r="EP811" s="171" t="s">
        <v>377</v>
      </c>
      <c r="EQ811" s="171" t="s">
        <v>271</v>
      </c>
      <c r="ER811" s="171" t="s">
        <v>34</v>
      </c>
      <c r="ES811" s="171" t="s">
        <v>35</v>
      </c>
      <c r="ET811" s="171" t="s">
        <v>713</v>
      </c>
      <c r="EU811" s="171" t="s">
        <v>621</v>
      </c>
      <c r="EV811" s="171" t="s">
        <v>622</v>
      </c>
      <c r="EW811" s="171" t="s">
        <v>623</v>
      </c>
      <c r="EX811" s="214" t="s">
        <v>2047</v>
      </c>
      <c r="EY811" s="171" t="s">
        <v>6</v>
      </c>
      <c r="EZ811" s="171" t="s">
        <v>603</v>
      </c>
      <c r="FA811" s="171" t="s">
        <v>618</v>
      </c>
      <c r="FB811" s="171" t="s">
        <v>1249</v>
      </c>
      <c r="FC811" s="171" t="s">
        <v>82</v>
      </c>
      <c r="FD811" s="171" t="s">
        <v>489</v>
      </c>
      <c r="FE811" s="171" t="s">
        <v>63</v>
      </c>
      <c r="FF811" s="171" t="s">
        <v>68</v>
      </c>
      <c r="FG811" s="171" t="s">
        <v>442</v>
      </c>
      <c r="FH811" s="171" t="s">
        <v>1371</v>
      </c>
      <c r="FI811" s="178" t="s">
        <v>1593</v>
      </c>
      <c r="FJ811" s="171" t="s">
        <v>221</v>
      </c>
      <c r="FK811" s="171" t="s">
        <v>83</v>
      </c>
      <c r="FL811" s="171" t="s">
        <v>19</v>
      </c>
      <c r="FM811" s="171" t="s">
        <v>648</v>
      </c>
      <c r="FN811" s="171" t="s">
        <v>649</v>
      </c>
      <c r="FO811" s="171" t="s">
        <v>650</v>
      </c>
      <c r="FP811" s="171" t="s">
        <v>962</v>
      </c>
      <c r="FQ811" s="171" t="s">
        <v>470</v>
      </c>
      <c r="FR811" s="171" t="s">
        <v>363</v>
      </c>
      <c r="FS811" s="171" t="s">
        <v>489</v>
      </c>
      <c r="FT811" s="171" t="s">
        <v>676</v>
      </c>
      <c r="FU811" s="171" t="s">
        <v>490</v>
      </c>
      <c r="FV811" s="171" t="s">
        <v>596</v>
      </c>
      <c r="FW811" s="171" t="s">
        <v>417</v>
      </c>
      <c r="FX811" s="171" t="s">
        <v>472</v>
      </c>
      <c r="FY811" s="171" t="s">
        <v>933</v>
      </c>
      <c r="FZ811" s="171" t="s">
        <v>1293</v>
      </c>
      <c r="GA811" s="184" t="s">
        <v>1654</v>
      </c>
      <c r="GB811" s="184" t="s">
        <v>1655</v>
      </c>
      <c r="GC811" s="190" t="s">
        <v>1726</v>
      </c>
      <c r="GD811" s="171" t="s">
        <v>566</v>
      </c>
      <c r="GE811" s="277"/>
      <c r="GG811" s="366"/>
      <c r="GH811" s="294"/>
      <c r="GI811" s="277"/>
      <c r="GQ811" s="314"/>
    </row>
    <row r="812" spans="1:199" x14ac:dyDescent="0.25">
      <c r="A812" s="195" t="s">
        <v>1553</v>
      </c>
      <c r="B812" s="18" t="s">
        <v>2</v>
      </c>
      <c r="C812" s="1">
        <f>C805</f>
        <v>11922</v>
      </c>
      <c r="I812" s="1">
        <f t="shared" ref="I812:BH812" si="34">I805</f>
        <v>11000</v>
      </c>
      <c r="M812" s="1">
        <f t="shared" si="34"/>
        <v>10000</v>
      </c>
      <c r="Q812" s="1">
        <f t="shared" si="34"/>
        <v>7500</v>
      </c>
      <c r="S812" s="1">
        <f t="shared" si="34"/>
        <v>0</v>
      </c>
      <c r="T812" s="1">
        <f t="shared" si="34"/>
        <v>0</v>
      </c>
      <c r="U812" s="1">
        <f t="shared" si="34"/>
        <v>6000</v>
      </c>
      <c r="V812" s="1">
        <f t="shared" si="34"/>
        <v>0</v>
      </c>
      <c r="W812" s="1">
        <f t="shared" si="34"/>
        <v>0</v>
      </c>
      <c r="Y812" s="1">
        <f t="shared" si="34"/>
        <v>0</v>
      </c>
      <c r="Z812" s="1">
        <f t="shared" si="34"/>
        <v>0</v>
      </c>
      <c r="AA812" s="1">
        <f t="shared" si="34"/>
        <v>0</v>
      </c>
      <c r="AB812" s="1">
        <f t="shared" si="34"/>
        <v>24000</v>
      </c>
      <c r="AC812" s="1">
        <f t="shared" si="34"/>
        <v>12029</v>
      </c>
      <c r="AD812" s="1">
        <f t="shared" si="34"/>
        <v>15500</v>
      </c>
      <c r="AF812" s="1">
        <f t="shared" si="34"/>
        <v>1500</v>
      </c>
      <c r="AG812" s="1">
        <f t="shared" si="34"/>
        <v>1300000</v>
      </c>
      <c r="AH812" s="1">
        <f t="shared" si="34"/>
        <v>915000</v>
      </c>
      <c r="AI812" s="1">
        <f t="shared" si="34"/>
        <v>18230</v>
      </c>
      <c r="AJ812" s="1">
        <f t="shared" si="34"/>
        <v>2000</v>
      </c>
      <c r="AK812" s="1">
        <f t="shared" si="34"/>
        <v>29000</v>
      </c>
      <c r="AL812" s="1">
        <f t="shared" si="34"/>
        <v>910500</v>
      </c>
      <c r="AM812" s="1">
        <f t="shared" si="34"/>
        <v>40000</v>
      </c>
      <c r="AN812" s="1">
        <f t="shared" si="34"/>
        <v>392000</v>
      </c>
      <c r="AO812" s="1">
        <f t="shared" si="34"/>
        <v>187588</v>
      </c>
      <c r="AP812" s="1">
        <f>AP805</f>
        <v>220000</v>
      </c>
      <c r="AQ812" s="1">
        <f t="shared" si="34"/>
        <v>2591900</v>
      </c>
      <c r="AR812" s="1">
        <f t="shared" si="34"/>
        <v>59400</v>
      </c>
      <c r="AS812" s="1">
        <f t="shared" si="34"/>
        <v>1478667</v>
      </c>
      <c r="AU812" s="1">
        <f t="shared" si="34"/>
        <v>806000</v>
      </c>
      <c r="AV812" s="1">
        <f t="shared" si="34"/>
        <v>1165500</v>
      </c>
      <c r="AW812" s="1">
        <f t="shared" si="34"/>
        <v>218500</v>
      </c>
      <c r="AX812" s="1">
        <f t="shared" si="34"/>
        <v>220000</v>
      </c>
      <c r="AY812" s="1">
        <f t="shared" si="34"/>
        <v>185000</v>
      </c>
      <c r="AZ812" s="1">
        <f t="shared" si="34"/>
        <v>170000</v>
      </c>
      <c r="BA812" s="1">
        <f t="shared" si="34"/>
        <v>120000</v>
      </c>
      <c r="BB812" s="1">
        <f t="shared" si="34"/>
        <v>53500</v>
      </c>
      <c r="BC812" s="1">
        <f t="shared" si="34"/>
        <v>0</v>
      </c>
      <c r="BD812" s="1">
        <f t="shared" si="34"/>
        <v>997500</v>
      </c>
      <c r="BE812" s="1">
        <f t="shared" si="34"/>
        <v>22000</v>
      </c>
      <c r="BF812" s="1">
        <f t="shared" si="34"/>
        <v>127592</v>
      </c>
      <c r="BG812" s="1">
        <f t="shared" si="34"/>
        <v>230000</v>
      </c>
      <c r="BH812" s="1">
        <f t="shared" si="34"/>
        <v>3500</v>
      </c>
      <c r="BK812" s="1">
        <f>BK805</f>
        <v>1400000</v>
      </c>
      <c r="DK812" s="1">
        <f>DK805</f>
        <v>199790</v>
      </c>
      <c r="DL812" s="1">
        <f>DL805</f>
        <v>157680</v>
      </c>
      <c r="DM812" s="1">
        <f>DM805</f>
        <v>53700</v>
      </c>
      <c r="DN812" s="1">
        <f>DN805</f>
        <v>27500</v>
      </c>
      <c r="DO812" s="1">
        <f>DO805</f>
        <v>455600</v>
      </c>
      <c r="GD812" s="1">
        <f>GD805</f>
        <v>3197500</v>
      </c>
    </row>
    <row r="813" spans="1:199" s="7" customFormat="1" x14ac:dyDescent="0.25">
      <c r="A813" s="11" t="s">
        <v>1563</v>
      </c>
      <c r="B813" s="41" t="s">
        <v>1556</v>
      </c>
      <c r="C813" s="7">
        <v>700000</v>
      </c>
      <c r="D813" s="11" t="s">
        <v>1844</v>
      </c>
      <c r="E813" s="11"/>
      <c r="F813" s="11"/>
      <c r="G813" s="11"/>
      <c r="H813" s="7">
        <v>700000</v>
      </c>
      <c r="DS813" s="14"/>
      <c r="DT813" s="14"/>
      <c r="DU813" s="14"/>
    </row>
    <row r="814" spans="1:199" s="7" customFormat="1" x14ac:dyDescent="0.25">
      <c r="A814" s="11" t="s">
        <v>1563</v>
      </c>
      <c r="B814" s="244" t="s">
        <v>1625</v>
      </c>
      <c r="C814" s="7">
        <v>-100000</v>
      </c>
      <c r="D814" s="11" t="s">
        <v>1845</v>
      </c>
      <c r="E814" s="11"/>
      <c r="F814" s="11"/>
      <c r="G814" s="11"/>
      <c r="AQ814" s="7">
        <v>100000</v>
      </c>
      <c r="DS814" s="14"/>
      <c r="DT814" s="14"/>
      <c r="DU814" s="14"/>
    </row>
    <row r="815" spans="1:199" x14ac:dyDescent="0.25">
      <c r="A815" s="195" t="s">
        <v>1563</v>
      </c>
      <c r="B815" s="174" t="s">
        <v>1557</v>
      </c>
      <c r="C815" s="1">
        <v>-5000</v>
      </c>
      <c r="D815" s="220" t="s">
        <v>1846</v>
      </c>
      <c r="AC815" s="1">
        <v>5000</v>
      </c>
    </row>
    <row r="816" spans="1:199" x14ac:dyDescent="0.25">
      <c r="A816" s="195" t="s">
        <v>1563</v>
      </c>
      <c r="B816" s="174" t="s">
        <v>1558</v>
      </c>
      <c r="C816" s="1">
        <v>-23</v>
      </c>
      <c r="D816" s="220" t="s">
        <v>1847</v>
      </c>
      <c r="EP816" s="1">
        <v>23</v>
      </c>
    </row>
    <row r="817" spans="1:166" x14ac:dyDescent="0.25">
      <c r="A817" s="195" t="s">
        <v>1563</v>
      </c>
      <c r="B817" s="173" t="s">
        <v>1607</v>
      </c>
      <c r="C817" s="1">
        <v>-50000</v>
      </c>
      <c r="D817" s="220" t="s">
        <v>1848</v>
      </c>
      <c r="DO817" s="1">
        <v>50000</v>
      </c>
    </row>
    <row r="818" spans="1:166" x14ac:dyDescent="0.25">
      <c r="A818" s="195" t="s">
        <v>1563</v>
      </c>
      <c r="B818" s="173" t="s">
        <v>1555</v>
      </c>
      <c r="C818" s="1">
        <v>-140000</v>
      </c>
      <c r="D818" s="220" t="s">
        <v>1849</v>
      </c>
      <c r="DI818" s="1">
        <v>140000</v>
      </c>
    </row>
    <row r="819" spans="1:166" x14ac:dyDescent="0.25">
      <c r="A819" s="195" t="s">
        <v>1563</v>
      </c>
      <c r="B819" s="173" t="s">
        <v>1438</v>
      </c>
      <c r="C819" s="1">
        <v>-250000</v>
      </c>
      <c r="D819" s="220" t="s">
        <v>1850</v>
      </c>
      <c r="BO819" s="1">
        <v>250000</v>
      </c>
    </row>
    <row r="820" spans="1:166" x14ac:dyDescent="0.25">
      <c r="A820" s="195" t="s">
        <v>1563</v>
      </c>
      <c r="B820" s="173" t="s">
        <v>1559</v>
      </c>
      <c r="C820" s="1">
        <v>-3000</v>
      </c>
      <c r="D820" s="220" t="s">
        <v>1851</v>
      </c>
      <c r="BH820" s="1">
        <v>3000</v>
      </c>
    </row>
    <row r="821" spans="1:166" x14ac:dyDescent="0.25">
      <c r="A821" s="195" t="s">
        <v>1563</v>
      </c>
      <c r="B821" s="7" t="s">
        <v>1560</v>
      </c>
      <c r="C821" s="1">
        <v>-60</v>
      </c>
      <c r="D821" s="220" t="s">
        <v>1852</v>
      </c>
      <c r="EY821" s="1">
        <v>60</v>
      </c>
    </row>
    <row r="822" spans="1:166" x14ac:dyDescent="0.25">
      <c r="A822" s="195" t="s">
        <v>1563</v>
      </c>
      <c r="B822" s="18" t="s">
        <v>1561</v>
      </c>
      <c r="C822" s="1">
        <v>-4000</v>
      </c>
      <c r="D822" s="220" t="s">
        <v>1853</v>
      </c>
      <c r="CS822" s="1">
        <v>4000</v>
      </c>
    </row>
    <row r="823" spans="1:166" x14ac:dyDescent="0.25">
      <c r="A823" s="195" t="s">
        <v>1563</v>
      </c>
      <c r="B823" s="18" t="s">
        <v>1562</v>
      </c>
      <c r="C823" s="1">
        <v>-2000</v>
      </c>
      <c r="D823" s="220" t="s">
        <v>1854</v>
      </c>
      <c r="CS823" s="1">
        <v>2000</v>
      </c>
    </row>
    <row r="824" spans="1:166" s="7" customFormat="1" x14ac:dyDescent="0.25">
      <c r="A824" s="11" t="s">
        <v>1563</v>
      </c>
      <c r="B824" s="7" t="s">
        <v>1573</v>
      </c>
      <c r="C824" s="7">
        <v>-15000</v>
      </c>
      <c r="D824" s="11" t="s">
        <v>1855</v>
      </c>
      <c r="E824" s="11"/>
      <c r="F824" s="11"/>
      <c r="G824" s="11"/>
      <c r="AE824" s="7">
        <v>15000</v>
      </c>
      <c r="DS824" s="14"/>
      <c r="DT824" s="14"/>
      <c r="DU824" s="14"/>
    </row>
    <row r="825" spans="1:166" x14ac:dyDescent="0.25">
      <c r="A825" s="195" t="s">
        <v>1567</v>
      </c>
      <c r="B825" s="7" t="s">
        <v>1568</v>
      </c>
      <c r="C825" s="1">
        <v>-12000</v>
      </c>
      <c r="D825" s="220" t="s">
        <v>1856</v>
      </c>
      <c r="FJ825" s="1">
        <v>12000</v>
      </c>
    </row>
    <row r="826" spans="1:166" x14ac:dyDescent="0.25">
      <c r="A826" s="195" t="s">
        <v>1567</v>
      </c>
      <c r="B826" s="7" t="s">
        <v>1571</v>
      </c>
      <c r="C826" s="1">
        <v>-760</v>
      </c>
      <c r="D826" s="220" t="s">
        <v>1857</v>
      </c>
      <c r="EK826" s="1">
        <v>760</v>
      </c>
    </row>
    <row r="827" spans="1:166" x14ac:dyDescent="0.25">
      <c r="A827" s="195" t="s">
        <v>1567</v>
      </c>
      <c r="B827" s="7" t="s">
        <v>1570</v>
      </c>
      <c r="C827" s="1">
        <v>-250</v>
      </c>
      <c r="D827" s="220" t="s">
        <v>1858</v>
      </c>
      <c r="FE827" s="1">
        <v>250</v>
      </c>
    </row>
    <row r="828" spans="1:166" x14ac:dyDescent="0.25">
      <c r="A828" s="195" t="s">
        <v>1567</v>
      </c>
      <c r="B828" s="7" t="s">
        <v>1572</v>
      </c>
      <c r="C828" s="1">
        <v>-40</v>
      </c>
      <c r="D828" s="220" t="s">
        <v>1859</v>
      </c>
      <c r="EY828" s="1">
        <v>40</v>
      </c>
    </row>
    <row r="829" spans="1:166" x14ac:dyDescent="0.25">
      <c r="A829" s="195" t="s">
        <v>1567</v>
      </c>
      <c r="B829" s="7" t="s">
        <v>1569</v>
      </c>
      <c r="C829" s="1">
        <f>-350-20</f>
        <v>-370</v>
      </c>
      <c r="D829" s="220" t="s">
        <v>1860</v>
      </c>
      <c r="EK829" s="1">
        <f>350+20</f>
        <v>370</v>
      </c>
    </row>
    <row r="830" spans="1:166" s="110" customFormat="1" x14ac:dyDescent="0.25">
      <c r="A830" s="112" t="s">
        <v>1567</v>
      </c>
      <c r="B830" s="162" t="s">
        <v>1577</v>
      </c>
      <c r="C830" s="110">
        <f>-30000-13000</f>
        <v>-43000</v>
      </c>
      <c r="D830" s="112" t="s">
        <v>1861</v>
      </c>
      <c r="E830" s="112"/>
      <c r="F830" s="112"/>
      <c r="G830" s="112"/>
      <c r="AC830" s="110">
        <f>30000+13000</f>
        <v>43000</v>
      </c>
      <c r="DS830" s="113"/>
      <c r="DT830" s="113"/>
      <c r="DU830" s="113"/>
    </row>
    <row r="831" spans="1:166" s="139" customFormat="1" x14ac:dyDescent="0.25">
      <c r="A831" s="160" t="s">
        <v>1567</v>
      </c>
      <c r="B831" s="7" t="s">
        <v>1541</v>
      </c>
      <c r="C831" s="139">
        <v>-260</v>
      </c>
      <c r="D831" s="160" t="s">
        <v>1862</v>
      </c>
      <c r="E831" s="160"/>
      <c r="F831" s="160"/>
      <c r="G831" s="160"/>
      <c r="DS831" s="161"/>
      <c r="DT831" s="161"/>
      <c r="DU831" s="161"/>
      <c r="EY831" s="139">
        <v>260</v>
      </c>
    </row>
    <row r="832" spans="1:166" s="7" customFormat="1" x14ac:dyDescent="0.25">
      <c r="A832" s="11" t="s">
        <v>1567</v>
      </c>
      <c r="B832" s="7" t="s">
        <v>1576</v>
      </c>
      <c r="C832" s="7">
        <v>-10000</v>
      </c>
      <c r="D832" s="112" t="s">
        <v>1863</v>
      </c>
      <c r="E832" s="112"/>
      <c r="F832" s="112"/>
      <c r="G832" s="112"/>
      <c r="Q832" s="7">
        <v>10000</v>
      </c>
      <c r="DS832" s="14"/>
      <c r="DT832" s="14"/>
      <c r="DU832" s="14"/>
    </row>
    <row r="833" spans="1:166" x14ac:dyDescent="0.25">
      <c r="A833" s="195" t="s">
        <v>1567</v>
      </c>
      <c r="B833" s="58" t="s">
        <v>1574</v>
      </c>
      <c r="AE833" s="1">
        <v>-11000</v>
      </c>
    </row>
    <row r="834" spans="1:166" x14ac:dyDescent="0.25">
      <c r="B834" s="7" t="s">
        <v>1575</v>
      </c>
      <c r="FJ834" s="1">
        <v>11000</v>
      </c>
    </row>
    <row r="835" spans="1:166" x14ac:dyDescent="0.25">
      <c r="A835" s="195" t="s">
        <v>1579</v>
      </c>
      <c r="B835" s="18" t="s">
        <v>1578</v>
      </c>
      <c r="C835" s="1">
        <v>1000000</v>
      </c>
      <c r="D835" s="11" t="s">
        <v>1876</v>
      </c>
      <c r="E835" s="11"/>
      <c r="F835" s="11"/>
      <c r="G835" s="11"/>
      <c r="H835" s="1">
        <v>1000000</v>
      </c>
    </row>
    <row r="836" spans="1:166" x14ac:dyDescent="0.25">
      <c r="A836" s="195" t="s">
        <v>1579</v>
      </c>
      <c r="B836" s="18" t="s">
        <v>932</v>
      </c>
      <c r="C836" s="1">
        <v>-51384</v>
      </c>
      <c r="D836" s="160" t="s">
        <v>1864</v>
      </c>
      <c r="E836" s="160"/>
      <c r="F836" s="160"/>
      <c r="G836" s="160"/>
      <c r="AO836" s="1">
        <v>51384</v>
      </c>
    </row>
    <row r="837" spans="1:166" s="110" customFormat="1" ht="30" x14ac:dyDescent="0.25">
      <c r="A837" s="112" t="s">
        <v>1579</v>
      </c>
      <c r="B837" s="111" t="s">
        <v>1601</v>
      </c>
      <c r="C837" s="110">
        <v>-50000</v>
      </c>
      <c r="D837" s="112" t="s">
        <v>1865</v>
      </c>
      <c r="E837" s="112"/>
      <c r="F837" s="112"/>
      <c r="G837" s="112"/>
      <c r="AC837" s="110">
        <v>50000</v>
      </c>
      <c r="DS837" s="113"/>
      <c r="DT837" s="113"/>
      <c r="DU837" s="113"/>
    </row>
    <row r="838" spans="1:166" x14ac:dyDescent="0.25">
      <c r="A838" s="195" t="s">
        <v>1579</v>
      </c>
      <c r="B838" s="18" t="s">
        <v>1580</v>
      </c>
      <c r="C838" s="1">
        <v>-10</v>
      </c>
      <c r="D838" s="160" t="s">
        <v>1866</v>
      </c>
      <c r="E838" s="160"/>
      <c r="F838" s="160"/>
      <c r="G838" s="160"/>
      <c r="EK838" s="1">
        <v>10</v>
      </c>
    </row>
    <row r="839" spans="1:166" x14ac:dyDescent="0.25">
      <c r="A839" s="195" t="s">
        <v>1579</v>
      </c>
      <c r="B839" s="18" t="s">
        <v>929</v>
      </c>
      <c r="C839" s="1">
        <v>-100000</v>
      </c>
      <c r="D839" s="160" t="s">
        <v>1867</v>
      </c>
      <c r="E839" s="160"/>
      <c r="F839" s="160"/>
      <c r="G839" s="160"/>
      <c r="AH839" s="1">
        <v>100000</v>
      </c>
    </row>
    <row r="840" spans="1:166" x14ac:dyDescent="0.25">
      <c r="A840" s="195" t="s">
        <v>1579</v>
      </c>
      <c r="B840" s="18" t="s">
        <v>1583</v>
      </c>
      <c r="C840" s="1">
        <v>-58</v>
      </c>
      <c r="D840" s="160" t="s">
        <v>1868</v>
      </c>
      <c r="E840" s="160"/>
      <c r="F840" s="160"/>
      <c r="G840" s="160"/>
      <c r="EP840" s="1">
        <v>58</v>
      </c>
    </row>
    <row r="841" spans="1:166" s="7" customFormat="1" x14ac:dyDescent="0.25">
      <c r="A841" s="11" t="s">
        <v>1579</v>
      </c>
      <c r="B841" s="41" t="s">
        <v>1581</v>
      </c>
      <c r="C841" s="7">
        <v>-12600</v>
      </c>
      <c r="D841" s="112" t="s">
        <v>1869</v>
      </c>
      <c r="E841" s="112"/>
      <c r="F841" s="112"/>
      <c r="G841" s="112"/>
      <c r="DC841" s="7">
        <v>12600</v>
      </c>
      <c r="DS841" s="14"/>
      <c r="DT841" s="14"/>
      <c r="DU841" s="14"/>
    </row>
    <row r="842" spans="1:166" s="7" customFormat="1" x14ac:dyDescent="0.25">
      <c r="A842" s="11" t="s">
        <v>1579</v>
      </c>
      <c r="B842" s="41" t="s">
        <v>1582</v>
      </c>
      <c r="C842" s="7">
        <v>-35000</v>
      </c>
      <c r="D842" s="112" t="s">
        <v>1870</v>
      </c>
      <c r="E842" s="112"/>
      <c r="F842" s="112"/>
      <c r="G842" s="112"/>
      <c r="BH842" s="7">
        <v>35000</v>
      </c>
      <c r="DS842" s="14"/>
      <c r="DT842" s="14"/>
      <c r="DU842" s="14"/>
    </row>
    <row r="843" spans="1:166" s="7" customFormat="1" x14ac:dyDescent="0.25">
      <c r="A843" s="11" t="s">
        <v>1579</v>
      </c>
      <c r="B843" s="41" t="s">
        <v>1602</v>
      </c>
      <c r="C843" s="7">
        <f>-645-235</f>
        <v>-880</v>
      </c>
      <c r="D843" s="112" t="s">
        <v>1871</v>
      </c>
      <c r="E843" s="112"/>
      <c r="F843" s="112"/>
      <c r="G843" s="112"/>
      <c r="DS843" s="14"/>
      <c r="DT843" s="14"/>
      <c r="DU843" s="14"/>
      <c r="EY843" s="7">
        <f>645+235</f>
        <v>880</v>
      </c>
    </row>
    <row r="844" spans="1:166" x14ac:dyDescent="0.25">
      <c r="A844" s="195" t="s">
        <v>1584</v>
      </c>
      <c r="B844" s="41" t="s">
        <v>1454</v>
      </c>
      <c r="C844" s="1">
        <v>-582750</v>
      </c>
      <c r="D844" s="160" t="s">
        <v>1872</v>
      </c>
      <c r="E844" s="160"/>
      <c r="F844" s="160"/>
      <c r="G844" s="160"/>
      <c r="AV844" s="1">
        <v>582750</v>
      </c>
    </row>
    <row r="845" spans="1:166" x14ac:dyDescent="0.25">
      <c r="A845" s="195" t="s">
        <v>1584</v>
      </c>
      <c r="B845" s="41" t="s">
        <v>1545</v>
      </c>
      <c r="C845" s="1">
        <v>-288</v>
      </c>
      <c r="D845" s="160" t="s">
        <v>1873</v>
      </c>
      <c r="E845" s="160"/>
      <c r="F845" s="160"/>
      <c r="G845" s="160"/>
      <c r="EP845" s="1">
        <v>288</v>
      </c>
    </row>
    <row r="846" spans="1:166" x14ac:dyDescent="0.25">
      <c r="A846" s="195" t="s">
        <v>1584</v>
      </c>
      <c r="B846" s="7" t="s">
        <v>1511</v>
      </c>
      <c r="C846" s="1">
        <v>-200</v>
      </c>
      <c r="D846" s="160" t="s">
        <v>1874</v>
      </c>
      <c r="E846" s="160"/>
      <c r="F846" s="160"/>
      <c r="G846" s="160"/>
      <c r="EH846" s="1">
        <v>200</v>
      </c>
    </row>
    <row r="847" spans="1:166" s="7" customFormat="1" x14ac:dyDescent="0.25">
      <c r="A847" s="11" t="s">
        <v>1584</v>
      </c>
      <c r="B847" s="7" t="s">
        <v>1502</v>
      </c>
      <c r="C847" s="7">
        <v>-2550</v>
      </c>
      <c r="D847" s="112" t="s">
        <v>1875</v>
      </c>
      <c r="E847" s="112"/>
      <c r="F847" s="112"/>
      <c r="G847" s="112"/>
      <c r="AF847" s="7">
        <v>2550</v>
      </c>
      <c r="DS847" s="14"/>
      <c r="DT847" s="14"/>
      <c r="DU847" s="14"/>
    </row>
    <row r="848" spans="1:166" s="7" customFormat="1" x14ac:dyDescent="0.25">
      <c r="A848" s="11" t="s">
        <v>1587</v>
      </c>
      <c r="B848" s="7" t="s">
        <v>1588</v>
      </c>
      <c r="C848" s="7">
        <v>1305</v>
      </c>
      <c r="D848" s="11" t="s">
        <v>1877</v>
      </c>
      <c r="E848" s="11"/>
      <c r="F848" s="11"/>
      <c r="G848" s="11"/>
      <c r="AD848" s="7">
        <v>-15500</v>
      </c>
      <c r="DS848" s="14"/>
      <c r="DT848" s="14"/>
      <c r="DU848" s="14"/>
    </row>
    <row r="849" spans="1:184" s="7" customFormat="1" x14ac:dyDescent="0.25">
      <c r="A849" s="11"/>
      <c r="B849" s="7" t="s">
        <v>1991</v>
      </c>
      <c r="D849" s="11"/>
      <c r="E849" s="11"/>
      <c r="F849" s="11"/>
      <c r="G849" s="11"/>
      <c r="DS849" s="14"/>
      <c r="DT849" s="14"/>
      <c r="DU849" s="14"/>
      <c r="GB849" s="7">
        <v>5390</v>
      </c>
    </row>
    <row r="850" spans="1:184" s="7" customFormat="1" x14ac:dyDescent="0.25">
      <c r="A850" s="11"/>
      <c r="B850" s="7" t="s">
        <v>1987</v>
      </c>
      <c r="D850" s="11"/>
      <c r="E850" s="11"/>
      <c r="F850" s="11"/>
      <c r="G850" s="11"/>
      <c r="DS850" s="14"/>
      <c r="DT850" s="14"/>
      <c r="DU850" s="14"/>
      <c r="EK850" s="7">
        <v>2475</v>
      </c>
    </row>
    <row r="851" spans="1:184" s="7" customFormat="1" x14ac:dyDescent="0.25">
      <c r="A851" s="11"/>
      <c r="B851" s="7" t="s">
        <v>1989</v>
      </c>
      <c r="D851" s="11"/>
      <c r="E851" s="11"/>
      <c r="F851" s="11"/>
      <c r="G851" s="11"/>
      <c r="DS851" s="14"/>
      <c r="DT851" s="14"/>
      <c r="DU851" s="14"/>
      <c r="FE851" s="7">
        <v>100</v>
      </c>
    </row>
    <row r="852" spans="1:184" s="7" customFormat="1" x14ac:dyDescent="0.25">
      <c r="A852" s="11"/>
      <c r="B852" s="7" t="s">
        <v>1990</v>
      </c>
      <c r="D852" s="11"/>
      <c r="E852" s="11"/>
      <c r="F852" s="11"/>
      <c r="G852" s="11"/>
      <c r="DS852" s="14"/>
      <c r="DT852" s="14"/>
      <c r="DU852" s="14"/>
      <c r="FC852" s="7">
        <v>4100</v>
      </c>
    </row>
    <row r="853" spans="1:184" s="7" customFormat="1" x14ac:dyDescent="0.25">
      <c r="A853" s="11"/>
      <c r="B853" s="7" t="s">
        <v>1985</v>
      </c>
      <c r="D853" s="11"/>
      <c r="E853" s="11"/>
      <c r="F853" s="11"/>
      <c r="G853" s="11"/>
      <c r="DS853" s="14"/>
      <c r="DT853" s="14"/>
      <c r="DU853" s="14"/>
      <c r="FZ853" s="7">
        <v>930</v>
      </c>
    </row>
    <row r="854" spans="1:184" s="7" customFormat="1" x14ac:dyDescent="0.25">
      <c r="A854" s="11"/>
      <c r="B854" s="7" t="s">
        <v>1986</v>
      </c>
      <c r="D854" s="11"/>
      <c r="E854" s="11"/>
      <c r="F854" s="11"/>
      <c r="G854" s="11"/>
      <c r="DS854" s="14"/>
      <c r="DT854" s="14"/>
      <c r="DU854" s="14"/>
      <c r="ER854" s="7">
        <v>200</v>
      </c>
    </row>
    <row r="855" spans="1:184" s="7" customFormat="1" x14ac:dyDescent="0.25">
      <c r="A855" s="11"/>
      <c r="B855" s="7" t="s">
        <v>1988</v>
      </c>
      <c r="D855" s="11"/>
      <c r="E855" s="11"/>
      <c r="F855" s="11"/>
      <c r="G855" s="11"/>
      <c r="DS855" s="14"/>
      <c r="DT855" s="14"/>
      <c r="DU855" s="14"/>
      <c r="ES855" s="7">
        <v>1000</v>
      </c>
    </row>
    <row r="856" spans="1:184" s="139" customFormat="1" ht="30" x14ac:dyDescent="0.25">
      <c r="A856" s="160" t="s">
        <v>1587</v>
      </c>
      <c r="B856" s="162" t="s">
        <v>1606</v>
      </c>
      <c r="C856" s="139">
        <v>-60000</v>
      </c>
      <c r="D856" s="160" t="s">
        <v>1878</v>
      </c>
      <c r="E856" s="160"/>
      <c r="F856" s="160"/>
      <c r="G856" s="160"/>
      <c r="AC856" s="139">
        <v>60000</v>
      </c>
      <c r="DS856" s="161"/>
      <c r="DT856" s="161"/>
      <c r="DU856" s="161"/>
    </row>
    <row r="857" spans="1:184" x14ac:dyDescent="0.25">
      <c r="A857" s="195" t="s">
        <v>1587</v>
      </c>
      <c r="B857" s="7" t="s">
        <v>1591</v>
      </c>
      <c r="C857" s="1">
        <v>-20</v>
      </c>
      <c r="D857" s="160" t="s">
        <v>1879</v>
      </c>
      <c r="E857" s="160"/>
      <c r="F857" s="160"/>
      <c r="G857" s="160"/>
      <c r="EK857" s="1">
        <v>20</v>
      </c>
    </row>
    <row r="858" spans="1:184" x14ac:dyDescent="0.25">
      <c r="A858" s="195" t="s">
        <v>1587</v>
      </c>
      <c r="B858" s="18" t="s">
        <v>1241</v>
      </c>
      <c r="C858" s="1">
        <v>-115000</v>
      </c>
      <c r="D858" s="160" t="s">
        <v>1880</v>
      </c>
      <c r="E858" s="160"/>
      <c r="F858" s="160"/>
      <c r="G858" s="160"/>
      <c r="AW858" s="1">
        <v>115000</v>
      </c>
    </row>
    <row r="859" spans="1:184" x14ac:dyDescent="0.25">
      <c r="A859" s="195" t="s">
        <v>1590</v>
      </c>
      <c r="B859" s="18" t="s">
        <v>1589</v>
      </c>
      <c r="C859" s="1">
        <v>1000000</v>
      </c>
      <c r="D859" s="220" t="s">
        <v>1881</v>
      </c>
      <c r="H859" s="1">
        <v>1000000</v>
      </c>
    </row>
    <row r="860" spans="1:184" x14ac:dyDescent="0.25">
      <c r="A860" s="195" t="s">
        <v>1590</v>
      </c>
      <c r="B860" s="18" t="s">
        <v>670</v>
      </c>
      <c r="C860" s="1">
        <v>-200000</v>
      </c>
      <c r="D860" s="160" t="s">
        <v>1882</v>
      </c>
      <c r="E860" s="160"/>
      <c r="F860" s="160"/>
      <c r="G860" s="160"/>
      <c r="AG860" s="1">
        <v>200000</v>
      </c>
    </row>
    <row r="861" spans="1:184" x14ac:dyDescent="0.25">
      <c r="A861" s="195" t="s">
        <v>1590</v>
      </c>
      <c r="B861" s="18" t="s">
        <v>1592</v>
      </c>
      <c r="C861" s="1">
        <v>-538000</v>
      </c>
      <c r="D861" s="160" t="s">
        <v>1883</v>
      </c>
      <c r="E861" s="160"/>
      <c r="F861" s="160"/>
      <c r="G861" s="160"/>
      <c r="FI861" s="1">
        <v>538000</v>
      </c>
    </row>
    <row r="862" spans="1:184" s="7" customFormat="1" x14ac:dyDescent="0.25">
      <c r="A862" s="11" t="s">
        <v>1590</v>
      </c>
      <c r="B862" s="41" t="s">
        <v>1605</v>
      </c>
      <c r="C862" s="7">
        <v>-30000</v>
      </c>
      <c r="D862" s="112" t="s">
        <v>1884</v>
      </c>
      <c r="E862" s="112"/>
      <c r="F862" s="112"/>
      <c r="G862" s="112"/>
      <c r="DS862" s="14"/>
      <c r="DT862" s="14"/>
      <c r="DU862" s="14"/>
      <c r="ER862" s="7">
        <v>30000</v>
      </c>
    </row>
    <row r="863" spans="1:184" s="110" customFormat="1" x14ac:dyDescent="0.25">
      <c r="A863" s="112" t="s">
        <v>1603</v>
      </c>
      <c r="B863" s="162" t="s">
        <v>1604</v>
      </c>
      <c r="C863" s="110">
        <v>-50000</v>
      </c>
      <c r="D863" s="160" t="s">
        <v>1885</v>
      </c>
      <c r="E863" s="160"/>
      <c r="F863" s="160"/>
      <c r="G863" s="160"/>
      <c r="AC863" s="110">
        <v>50000</v>
      </c>
      <c r="DS863" s="113"/>
      <c r="DT863" s="113"/>
      <c r="DU863" s="113"/>
    </row>
    <row r="864" spans="1:184" s="110" customFormat="1" ht="30" x14ac:dyDescent="0.25">
      <c r="A864" s="112" t="s">
        <v>1608</v>
      </c>
      <c r="B864" s="162" t="s">
        <v>1609</v>
      </c>
      <c r="C864" s="110">
        <v>-40000</v>
      </c>
      <c r="D864" s="160" t="s">
        <v>1886</v>
      </c>
      <c r="E864" s="160"/>
      <c r="F864" s="160"/>
      <c r="G864" s="160"/>
      <c r="AC864" s="110">
        <v>40000</v>
      </c>
      <c r="DS864" s="113"/>
      <c r="DT864" s="113"/>
      <c r="DU864" s="113"/>
    </row>
    <row r="865" spans="1:174" s="110" customFormat="1" x14ac:dyDescent="0.25">
      <c r="A865" s="112" t="s">
        <v>1608</v>
      </c>
      <c r="B865" s="162" t="s">
        <v>1610</v>
      </c>
      <c r="C865" s="110">
        <v>-40</v>
      </c>
      <c r="D865" s="160" t="s">
        <v>1887</v>
      </c>
      <c r="E865" s="160"/>
      <c r="F865" s="160"/>
      <c r="G865" s="160"/>
      <c r="DS865" s="113"/>
      <c r="DT865" s="113"/>
      <c r="DU865" s="113"/>
      <c r="EK865" s="110">
        <v>40</v>
      </c>
    </row>
    <row r="866" spans="1:174" s="110" customFormat="1" x14ac:dyDescent="0.25">
      <c r="A866" s="112" t="s">
        <v>1608</v>
      </c>
      <c r="B866" s="162" t="s">
        <v>1611</v>
      </c>
      <c r="C866" s="110">
        <v>-68225</v>
      </c>
      <c r="D866" s="160" t="s">
        <v>1888</v>
      </c>
      <c r="E866" s="160"/>
      <c r="F866" s="160"/>
      <c r="G866" s="160"/>
      <c r="DS866" s="113"/>
      <c r="DT866" s="113"/>
      <c r="DU866" s="113"/>
      <c r="FR866" s="110">
        <v>68225</v>
      </c>
    </row>
    <row r="867" spans="1:174" s="110" customFormat="1" x14ac:dyDescent="0.25">
      <c r="A867" s="112" t="s">
        <v>1613</v>
      </c>
      <c r="B867" s="18" t="s">
        <v>1615</v>
      </c>
      <c r="C867" s="110">
        <v>800000</v>
      </c>
      <c r="D867" s="220" t="s">
        <v>1889</v>
      </c>
      <c r="E867" s="247"/>
      <c r="F867" s="260"/>
      <c r="G867" s="260"/>
      <c r="H867" s="110">
        <v>800000</v>
      </c>
      <c r="DS867" s="113"/>
      <c r="DT867" s="113"/>
      <c r="DU867" s="113"/>
    </row>
    <row r="868" spans="1:174" s="110" customFormat="1" x14ac:dyDescent="0.25">
      <c r="A868" s="112" t="s">
        <v>1613</v>
      </c>
      <c r="B868" s="18" t="s">
        <v>670</v>
      </c>
      <c r="C868" s="110">
        <v>-400000</v>
      </c>
      <c r="D868" s="160" t="s">
        <v>1890</v>
      </c>
      <c r="E868" s="160"/>
      <c r="F868" s="160"/>
      <c r="G868" s="160"/>
      <c r="AG868" s="110">
        <v>400000</v>
      </c>
      <c r="DS868" s="113"/>
      <c r="DT868" s="113"/>
      <c r="DU868" s="113"/>
    </row>
    <row r="869" spans="1:174" s="110" customFormat="1" x14ac:dyDescent="0.25">
      <c r="A869" s="112" t="s">
        <v>1613</v>
      </c>
      <c r="B869" s="18" t="s">
        <v>929</v>
      </c>
      <c r="C869" s="110">
        <v>-100000</v>
      </c>
      <c r="D869" s="160" t="s">
        <v>1891</v>
      </c>
      <c r="E869" s="160"/>
      <c r="F869" s="160"/>
      <c r="G869" s="160"/>
      <c r="AH869" s="110">
        <v>100000</v>
      </c>
      <c r="DS869" s="113"/>
      <c r="DT869" s="113"/>
      <c r="DU869" s="113"/>
    </row>
    <row r="870" spans="1:174" s="7" customFormat="1" x14ac:dyDescent="0.25">
      <c r="A870" s="112" t="s">
        <v>1613</v>
      </c>
      <c r="B870" s="18" t="s">
        <v>1583</v>
      </c>
      <c r="C870" s="7">
        <v>-58</v>
      </c>
      <c r="D870" s="160" t="s">
        <v>1892</v>
      </c>
      <c r="E870" s="160"/>
      <c r="F870" s="160"/>
      <c r="G870" s="160"/>
      <c r="DS870" s="14"/>
      <c r="DT870" s="14"/>
      <c r="DU870" s="14"/>
      <c r="EP870" s="7">
        <v>58</v>
      </c>
    </row>
    <row r="871" spans="1:174" s="7" customFormat="1" x14ac:dyDescent="0.25">
      <c r="A871" s="112" t="s">
        <v>1613</v>
      </c>
      <c r="B871" s="18" t="s">
        <v>1617</v>
      </c>
      <c r="C871" s="7">
        <v>-300</v>
      </c>
      <c r="D871" s="160" t="s">
        <v>1893</v>
      </c>
      <c r="E871" s="160"/>
      <c r="F871" s="160"/>
      <c r="G871" s="160"/>
      <c r="CY871" s="7">
        <v>300</v>
      </c>
      <c r="DS871" s="14"/>
      <c r="DT871" s="14"/>
      <c r="DU871" s="14"/>
    </row>
    <row r="872" spans="1:174" s="7" customFormat="1" x14ac:dyDescent="0.25">
      <c r="A872" s="112" t="s">
        <v>1613</v>
      </c>
      <c r="B872" s="18" t="s">
        <v>932</v>
      </c>
      <c r="C872" s="7">
        <f>-31220-13452</f>
        <v>-44672</v>
      </c>
      <c r="D872" s="160" t="s">
        <v>1894</v>
      </c>
      <c r="E872" s="160"/>
      <c r="F872" s="160"/>
      <c r="G872" s="160"/>
      <c r="AO872" s="7">
        <v>44672</v>
      </c>
      <c r="DS872" s="14"/>
      <c r="DT872" s="14"/>
      <c r="DU872" s="14"/>
    </row>
    <row r="873" spans="1:174" s="7" customFormat="1" x14ac:dyDescent="0.25">
      <c r="A873" s="11" t="s">
        <v>1618</v>
      </c>
      <c r="B873" s="7" t="s">
        <v>1619</v>
      </c>
      <c r="C873" s="7">
        <v>-40</v>
      </c>
      <c r="D873" s="160" t="s">
        <v>1895</v>
      </c>
      <c r="E873" s="160"/>
      <c r="F873" s="160"/>
      <c r="G873" s="160"/>
      <c r="CO873" s="7">
        <v>40</v>
      </c>
      <c r="DS873" s="14"/>
      <c r="DT873" s="14"/>
      <c r="DU873" s="14"/>
    </row>
    <row r="874" spans="1:174" s="7" customFormat="1" x14ac:dyDescent="0.25">
      <c r="A874" s="11" t="s">
        <v>1621</v>
      </c>
      <c r="B874" s="41" t="s">
        <v>1634</v>
      </c>
      <c r="C874" s="7">
        <f>-15000-22000-5000-15000-15000-4573-14400</f>
        <v>-90973</v>
      </c>
      <c r="D874" s="112" t="s">
        <v>1896</v>
      </c>
      <c r="E874" s="112"/>
      <c r="F874" s="112"/>
      <c r="G874" s="112"/>
      <c r="DC874" s="7">
        <v>90973</v>
      </c>
      <c r="DS874" s="14"/>
      <c r="DT874" s="14"/>
      <c r="DU874" s="14"/>
    </row>
    <row r="875" spans="1:174" s="4" customFormat="1" x14ac:dyDescent="0.25">
      <c r="A875" s="10" t="s">
        <v>1621</v>
      </c>
      <c r="B875" s="32" t="s">
        <v>2073</v>
      </c>
      <c r="D875" s="198"/>
      <c r="E875" s="198"/>
      <c r="F875" s="198"/>
      <c r="G875" s="198"/>
      <c r="I875" s="4">
        <v>-11000</v>
      </c>
      <c r="M875" s="4">
        <v>-10000</v>
      </c>
      <c r="U875" s="4">
        <v>-6000</v>
      </c>
      <c r="DS875" s="12"/>
      <c r="DT875" s="12"/>
      <c r="DU875" s="12"/>
    </row>
    <row r="876" spans="1:174" s="7" customFormat="1" x14ac:dyDescent="0.25">
      <c r="A876" s="11"/>
      <c r="B876" s="41" t="s">
        <v>2072</v>
      </c>
      <c r="D876" s="112"/>
      <c r="E876" s="112"/>
      <c r="F876" s="112"/>
      <c r="G876" s="112"/>
      <c r="DC876" s="7">
        <v>11000</v>
      </c>
      <c r="DS876" s="14"/>
      <c r="DT876" s="14"/>
      <c r="DU876" s="14"/>
    </row>
    <row r="877" spans="1:174" s="7" customFormat="1" x14ac:dyDescent="0.25">
      <c r="A877" s="11"/>
      <c r="B877" s="41" t="s">
        <v>2077</v>
      </c>
      <c r="D877" s="112"/>
      <c r="E877" s="112"/>
      <c r="F877" s="112"/>
      <c r="G877" s="112"/>
      <c r="DC877" s="7">
        <v>10000</v>
      </c>
      <c r="DS877" s="14"/>
      <c r="DT877" s="14"/>
      <c r="DU877" s="14"/>
    </row>
    <row r="878" spans="1:174" s="7" customFormat="1" x14ac:dyDescent="0.25">
      <c r="A878" s="11"/>
      <c r="B878" s="41" t="s">
        <v>2078</v>
      </c>
      <c r="D878" s="112"/>
      <c r="E878" s="112"/>
      <c r="F878" s="112"/>
      <c r="G878" s="112"/>
      <c r="DC878" s="7">
        <v>6000</v>
      </c>
      <c r="DS878" s="14"/>
      <c r="DT878" s="14"/>
      <c r="DU878" s="14"/>
    </row>
    <row r="879" spans="1:174" s="7" customFormat="1" x14ac:dyDescent="0.25">
      <c r="A879" s="11" t="s">
        <v>1621</v>
      </c>
      <c r="B879" s="18" t="s">
        <v>1622</v>
      </c>
      <c r="C879" s="7">
        <v>-40</v>
      </c>
      <c r="D879" s="160" t="s">
        <v>1897</v>
      </c>
      <c r="E879" s="160"/>
      <c r="F879" s="160"/>
      <c r="G879" s="160"/>
      <c r="CO879" s="7">
        <v>40</v>
      </c>
      <c r="DS879" s="14"/>
      <c r="DT879" s="14"/>
      <c r="DU879" s="14"/>
    </row>
    <row r="880" spans="1:174" s="7" customFormat="1" x14ac:dyDescent="0.25">
      <c r="A880" s="11" t="s">
        <v>1621</v>
      </c>
      <c r="B880" s="18" t="s">
        <v>1635</v>
      </c>
      <c r="C880" s="7">
        <v>-50000</v>
      </c>
      <c r="D880" s="160" t="s">
        <v>1898</v>
      </c>
      <c r="E880" s="160"/>
      <c r="F880" s="160"/>
      <c r="G880" s="160"/>
      <c r="AC880" s="7">
        <v>50000</v>
      </c>
      <c r="DS880" s="14"/>
      <c r="DT880" s="14"/>
      <c r="DU880" s="14"/>
    </row>
    <row r="881" spans="1:161" s="7" customFormat="1" x14ac:dyDescent="0.25">
      <c r="A881" s="195" t="s">
        <v>1623</v>
      </c>
      <c r="B881" s="18" t="s">
        <v>1624</v>
      </c>
      <c r="C881" s="7">
        <v>342300</v>
      </c>
      <c r="D881" s="220" t="s">
        <v>1899</v>
      </c>
      <c r="E881" s="247"/>
      <c r="F881" s="260"/>
      <c r="G881" s="260"/>
      <c r="H881" s="7">
        <v>342300</v>
      </c>
      <c r="DS881" s="14"/>
      <c r="DT881" s="14"/>
      <c r="DU881" s="14"/>
    </row>
    <row r="882" spans="1:161" s="7" customFormat="1" x14ac:dyDescent="0.25">
      <c r="A882" s="195" t="s">
        <v>1623</v>
      </c>
      <c r="B882" s="173" t="s">
        <v>1607</v>
      </c>
      <c r="C882" s="7">
        <v>-50000</v>
      </c>
      <c r="D882" s="160" t="s">
        <v>1900</v>
      </c>
      <c r="E882" s="160"/>
      <c r="F882" s="160"/>
      <c r="G882" s="160"/>
      <c r="DO882" s="7">
        <v>50000</v>
      </c>
      <c r="DS882" s="14"/>
      <c r="DT882" s="14"/>
      <c r="DU882" s="14"/>
    </row>
    <row r="883" spans="1:161" s="7" customFormat="1" x14ac:dyDescent="0.25">
      <c r="A883" s="195" t="s">
        <v>1623</v>
      </c>
      <c r="B883" s="173" t="s">
        <v>1625</v>
      </c>
      <c r="C883" s="7">
        <v>-50000</v>
      </c>
      <c r="D883" s="160" t="s">
        <v>1901</v>
      </c>
      <c r="E883" s="160"/>
      <c r="F883" s="160"/>
      <c r="G883" s="160"/>
      <c r="AQ883" s="7">
        <v>50000</v>
      </c>
      <c r="DS883" s="14"/>
      <c r="DT883" s="14"/>
      <c r="DU883" s="14"/>
    </row>
    <row r="884" spans="1:161" s="7" customFormat="1" x14ac:dyDescent="0.25">
      <c r="A884" s="195" t="s">
        <v>1623</v>
      </c>
      <c r="B884" s="7" t="s">
        <v>1626</v>
      </c>
      <c r="C884" s="7">
        <v>-55</v>
      </c>
      <c r="D884" s="160" t="s">
        <v>1902</v>
      </c>
      <c r="E884" s="160"/>
      <c r="F884" s="160"/>
      <c r="G884" s="160"/>
      <c r="DS884" s="14"/>
      <c r="DT884" s="14"/>
      <c r="DU884" s="14"/>
      <c r="EK884" s="7">
        <v>55</v>
      </c>
    </row>
    <row r="885" spans="1:161" s="7" customFormat="1" x14ac:dyDescent="0.25">
      <c r="A885" s="195" t="s">
        <v>1623</v>
      </c>
      <c r="B885" s="7" t="s">
        <v>1627</v>
      </c>
      <c r="C885" s="7">
        <v>-8455</v>
      </c>
      <c r="D885" s="160" t="s">
        <v>1903</v>
      </c>
      <c r="E885" s="160"/>
      <c r="F885" s="160"/>
      <c r="G885" s="160"/>
      <c r="DS885" s="14"/>
      <c r="DT885" s="14"/>
      <c r="DU885" s="14"/>
      <c r="ES885" s="7">
        <v>8455</v>
      </c>
    </row>
    <row r="886" spans="1:161" s="7" customFormat="1" x14ac:dyDescent="0.25">
      <c r="A886" s="195" t="s">
        <v>1623</v>
      </c>
      <c r="B886" s="7" t="s">
        <v>1628</v>
      </c>
      <c r="C886" s="7">
        <v>-1295</v>
      </c>
      <c r="D886" s="160" t="s">
        <v>1904</v>
      </c>
      <c r="E886" s="160"/>
      <c r="F886" s="160"/>
      <c r="G886" s="160"/>
      <c r="DS886" s="14"/>
      <c r="DT886" s="14"/>
      <c r="DU886" s="14"/>
      <c r="EK886" s="7">
        <v>1295</v>
      </c>
    </row>
    <row r="887" spans="1:161" s="7" customFormat="1" x14ac:dyDescent="0.25">
      <c r="A887" s="195" t="s">
        <v>1623</v>
      </c>
      <c r="B887" s="7" t="s">
        <v>1629</v>
      </c>
      <c r="C887" s="7">
        <v>-1195</v>
      </c>
      <c r="D887" s="160" t="s">
        <v>1905</v>
      </c>
      <c r="E887" s="160"/>
      <c r="F887" s="160"/>
      <c r="G887" s="160"/>
      <c r="DS887" s="14"/>
      <c r="DT887" s="14"/>
      <c r="DU887" s="14"/>
      <c r="FE887" s="7">
        <v>1195</v>
      </c>
    </row>
    <row r="888" spans="1:161" s="7" customFormat="1" x14ac:dyDescent="0.25">
      <c r="A888" s="195" t="s">
        <v>1623</v>
      </c>
      <c r="B888" s="7" t="s">
        <v>1630</v>
      </c>
      <c r="C888" s="7">
        <v>-28911</v>
      </c>
      <c r="D888" s="160" t="s">
        <v>1906</v>
      </c>
      <c r="E888" s="160"/>
      <c r="F888" s="160"/>
      <c r="G888" s="160"/>
      <c r="CV888" s="7">
        <v>28911</v>
      </c>
      <c r="DS888" s="14"/>
      <c r="DT888" s="14"/>
      <c r="DU888" s="14"/>
    </row>
    <row r="889" spans="1:161" s="7" customFormat="1" x14ac:dyDescent="0.25">
      <c r="A889" s="195" t="s">
        <v>1623</v>
      </c>
      <c r="B889" s="7" t="s">
        <v>1631</v>
      </c>
      <c r="C889" s="7">
        <v>-6356</v>
      </c>
      <c r="D889" s="160" t="s">
        <v>1907</v>
      </c>
      <c r="E889" s="160"/>
      <c r="F889" s="160"/>
      <c r="G889" s="160"/>
      <c r="DS889" s="14"/>
      <c r="DT889" s="14"/>
      <c r="DU889" s="14"/>
      <c r="FD889" s="7">
        <v>6356</v>
      </c>
    </row>
    <row r="890" spans="1:161" s="7" customFormat="1" x14ac:dyDescent="0.25">
      <c r="A890" s="195" t="s">
        <v>1623</v>
      </c>
      <c r="B890" s="7" t="s">
        <v>1632</v>
      </c>
      <c r="C890" s="7">
        <v>-1230</v>
      </c>
      <c r="D890" s="160" t="s">
        <v>1908</v>
      </c>
      <c r="E890" s="160"/>
      <c r="F890" s="160"/>
      <c r="G890" s="160"/>
      <c r="DS890" s="14"/>
      <c r="DT890" s="14"/>
      <c r="DU890" s="14"/>
      <c r="FE890" s="7">
        <v>1230</v>
      </c>
    </row>
    <row r="891" spans="1:161" s="7" customFormat="1" x14ac:dyDescent="0.25">
      <c r="A891" s="195" t="s">
        <v>1623</v>
      </c>
      <c r="B891" s="7" t="s">
        <v>1633</v>
      </c>
      <c r="C891" s="7">
        <v>-15600</v>
      </c>
      <c r="D891" s="160" t="s">
        <v>1909</v>
      </c>
      <c r="E891" s="160"/>
      <c r="F891" s="160"/>
      <c r="G891" s="160"/>
      <c r="DP891" s="7">
        <v>15600</v>
      </c>
      <c r="DS891" s="14"/>
      <c r="DT891" s="14"/>
      <c r="DU891" s="14"/>
    </row>
    <row r="892" spans="1:161" s="7" customFormat="1" x14ac:dyDescent="0.25">
      <c r="A892" s="195" t="s">
        <v>1623</v>
      </c>
      <c r="B892" s="7" t="s">
        <v>1511</v>
      </c>
      <c r="C892" s="7">
        <v>-123</v>
      </c>
      <c r="D892" s="160" t="s">
        <v>1910</v>
      </c>
      <c r="E892" s="160"/>
      <c r="F892" s="160"/>
      <c r="G892" s="160"/>
      <c r="DS892" s="14"/>
      <c r="DT892" s="14"/>
      <c r="DU892" s="14"/>
      <c r="EH892" s="7">
        <v>123</v>
      </c>
    </row>
    <row r="893" spans="1:161" s="110" customFormat="1" ht="30" x14ac:dyDescent="0.25">
      <c r="A893" s="112" t="s">
        <v>1636</v>
      </c>
      <c r="B893" s="111" t="s">
        <v>2088</v>
      </c>
      <c r="C893" s="110">
        <v>-50000</v>
      </c>
      <c r="D893" s="112" t="s">
        <v>1911</v>
      </c>
      <c r="E893" s="112"/>
      <c r="F893" s="112"/>
      <c r="G893" s="112"/>
      <c r="AC893" s="110">
        <v>50000</v>
      </c>
      <c r="DS893" s="113"/>
      <c r="DT893" s="113"/>
      <c r="DU893" s="113"/>
    </row>
    <row r="894" spans="1:161" s="7" customFormat="1" x14ac:dyDescent="0.25">
      <c r="A894" s="11" t="s">
        <v>1636</v>
      </c>
      <c r="B894" s="41" t="s">
        <v>1637</v>
      </c>
      <c r="C894" s="7">
        <v>-50000</v>
      </c>
      <c r="D894" s="112" t="s">
        <v>1912</v>
      </c>
      <c r="E894" s="112"/>
      <c r="F894" s="112"/>
      <c r="G894" s="112"/>
      <c r="AH894" s="7">
        <v>50000</v>
      </c>
      <c r="DS894" s="14"/>
      <c r="DT894" s="14"/>
      <c r="DU894" s="14"/>
    </row>
    <row r="895" spans="1:161" s="7" customFormat="1" x14ac:dyDescent="0.25">
      <c r="A895" s="195" t="s">
        <v>1638</v>
      </c>
      <c r="B895" s="18" t="s">
        <v>1640</v>
      </c>
      <c r="C895" s="7">
        <v>800000</v>
      </c>
      <c r="D895" s="11" t="s">
        <v>1913</v>
      </c>
      <c r="E895" s="11"/>
      <c r="F895" s="11"/>
      <c r="G895" s="11"/>
      <c r="H895" s="7">
        <v>800000</v>
      </c>
      <c r="DS895" s="14"/>
      <c r="DT895" s="14"/>
      <c r="DU895" s="14"/>
    </row>
    <row r="896" spans="1:161" s="7" customFormat="1" x14ac:dyDescent="0.25">
      <c r="A896" s="195" t="s">
        <v>1638</v>
      </c>
      <c r="B896" s="7" t="s">
        <v>1642</v>
      </c>
      <c r="C896" s="7">
        <v>-40</v>
      </c>
      <c r="D896" s="112" t="s">
        <v>1914</v>
      </c>
      <c r="E896" s="112"/>
      <c r="F896" s="112"/>
      <c r="G896" s="112"/>
      <c r="CO896" s="7">
        <v>40</v>
      </c>
      <c r="DS896" s="14"/>
      <c r="DT896" s="14"/>
      <c r="DU896" s="14"/>
    </row>
    <row r="897" spans="1:168" s="7" customFormat="1" x14ac:dyDescent="0.25">
      <c r="A897" s="195" t="s">
        <v>1638</v>
      </c>
      <c r="B897" s="116" t="s">
        <v>1641</v>
      </c>
      <c r="C897" s="7">
        <v>-20000</v>
      </c>
      <c r="D897" s="112" t="s">
        <v>1915</v>
      </c>
      <c r="E897" s="112"/>
      <c r="F897" s="112"/>
      <c r="G897" s="112"/>
      <c r="AC897" s="7">
        <v>20000</v>
      </c>
      <c r="DS897" s="14"/>
      <c r="DT897" s="14"/>
      <c r="DU897" s="14"/>
    </row>
    <row r="898" spans="1:168" x14ac:dyDescent="0.25">
      <c r="A898" s="195" t="s">
        <v>1638</v>
      </c>
      <c r="B898" s="58" t="s">
        <v>1643</v>
      </c>
      <c r="AE898" s="1">
        <v>-4000</v>
      </c>
    </row>
    <row r="899" spans="1:168" s="7" customFormat="1" x14ac:dyDescent="0.25">
      <c r="A899" s="195"/>
      <c r="B899" s="7" t="s">
        <v>1644</v>
      </c>
      <c r="C899" s="1">
        <v>4000</v>
      </c>
      <c r="D899" s="11" t="s">
        <v>1916</v>
      </c>
      <c r="E899" s="11"/>
      <c r="F899" s="11"/>
      <c r="G899" s="11"/>
      <c r="DS899" s="14"/>
      <c r="DT899" s="14"/>
      <c r="DU899" s="14"/>
    </row>
    <row r="900" spans="1:168" s="7" customFormat="1" x14ac:dyDescent="0.25">
      <c r="A900" s="11" t="s">
        <v>1647</v>
      </c>
      <c r="B900" s="7" t="s">
        <v>1649</v>
      </c>
      <c r="C900" s="7">
        <v>-2400</v>
      </c>
      <c r="D900" s="112" t="s">
        <v>1917</v>
      </c>
      <c r="E900" s="112"/>
      <c r="F900" s="112"/>
      <c r="G900" s="112"/>
      <c r="CS900" s="7">
        <v>2400</v>
      </c>
      <c r="DS900" s="14"/>
      <c r="DT900" s="14"/>
      <c r="DU900" s="14"/>
    </row>
    <row r="901" spans="1:168" s="7" customFormat="1" x14ac:dyDescent="0.25">
      <c r="A901" s="11" t="s">
        <v>1647</v>
      </c>
      <c r="B901" s="7" t="s">
        <v>1650</v>
      </c>
      <c r="C901" s="7">
        <v>-50</v>
      </c>
      <c r="D901" s="112" t="s">
        <v>1918</v>
      </c>
      <c r="E901" s="112"/>
      <c r="F901" s="112"/>
      <c r="G901" s="112"/>
      <c r="CR901" s="7">
        <v>50</v>
      </c>
      <c r="DS901" s="14"/>
      <c r="DT901" s="14"/>
      <c r="DU901" s="14"/>
    </row>
    <row r="902" spans="1:168" s="110" customFormat="1" ht="30" x14ac:dyDescent="0.25">
      <c r="A902" s="160" t="s">
        <v>1647</v>
      </c>
      <c r="B902" s="116" t="s">
        <v>1651</v>
      </c>
      <c r="C902" s="139">
        <v>-50000</v>
      </c>
      <c r="D902" s="112" t="s">
        <v>1919</v>
      </c>
      <c r="E902" s="112"/>
      <c r="F902" s="112"/>
      <c r="G902" s="112"/>
      <c r="AC902" s="110">
        <v>50000</v>
      </c>
      <c r="DS902" s="113"/>
      <c r="DT902" s="113"/>
      <c r="DU902" s="113"/>
    </row>
    <row r="903" spans="1:168" s="131" customFormat="1" x14ac:dyDescent="0.25">
      <c r="A903" s="233" t="s">
        <v>1652</v>
      </c>
      <c r="B903" s="84" t="s">
        <v>1676</v>
      </c>
      <c r="C903" s="131">
        <v>1000000</v>
      </c>
      <c r="D903" s="233" t="s">
        <v>1921</v>
      </c>
      <c r="E903" s="249"/>
      <c r="F903" s="262"/>
      <c r="G903" s="262"/>
      <c r="H903" s="131">
        <v>1000000</v>
      </c>
      <c r="DS903" s="235"/>
      <c r="DT903" s="235"/>
      <c r="DU903" s="235"/>
    </row>
    <row r="904" spans="1:168" s="131" customFormat="1" x14ac:dyDescent="0.25">
      <c r="A904" s="233" t="s">
        <v>1652</v>
      </c>
      <c r="B904" s="236" t="s">
        <v>1653</v>
      </c>
      <c r="C904" s="131">
        <v>-20000</v>
      </c>
      <c r="D904" s="237" t="s">
        <v>1920</v>
      </c>
      <c r="E904" s="237"/>
      <c r="F904" s="237"/>
      <c r="G904" s="237"/>
      <c r="AC904" s="131">
        <v>20000</v>
      </c>
      <c r="DS904" s="235"/>
      <c r="DT904" s="235"/>
      <c r="DU904" s="235"/>
    </row>
    <row r="905" spans="1:168" s="110" customFormat="1" x14ac:dyDescent="0.25">
      <c r="A905" s="239" t="s">
        <v>1652</v>
      </c>
      <c r="B905" s="84" t="s">
        <v>2189</v>
      </c>
      <c r="D905" s="112"/>
      <c r="E905" s="112"/>
      <c r="F905" s="112"/>
      <c r="G905" s="112"/>
      <c r="AC905" s="110">
        <v>-429540</v>
      </c>
      <c r="DS905" s="113"/>
      <c r="DT905" s="113"/>
      <c r="DU905" s="113"/>
    </row>
    <row r="906" spans="1:168" s="110" customFormat="1" x14ac:dyDescent="0.25">
      <c r="A906" s="11"/>
      <c r="B906" s="41" t="s">
        <v>2183</v>
      </c>
      <c r="D906" s="112"/>
      <c r="E906" s="112"/>
      <c r="F906" s="112"/>
      <c r="G906" s="112"/>
      <c r="DS906" s="113"/>
      <c r="DT906" s="113"/>
      <c r="DU906" s="113"/>
      <c r="FE906" s="110">
        <f>4000+330+3000+1500+4000+1500+200+160+2000+200+2500+1000+250+4000+1000+260+2000+2000+150+1000+35+4000+270+1000+2000+200+45+70+75+5000+2000+2000+210+1000+160+200+4000+1000</f>
        <v>54315</v>
      </c>
    </row>
    <row r="907" spans="1:168" s="110" customFormat="1" x14ac:dyDescent="0.25">
      <c r="A907" s="11"/>
      <c r="B907" s="41" t="s">
        <v>2188</v>
      </c>
      <c r="D907" s="112"/>
      <c r="E907" s="112"/>
      <c r="F907" s="112"/>
      <c r="G907" s="112"/>
      <c r="DS907" s="113"/>
      <c r="DT907" s="113"/>
      <c r="DU907" s="113"/>
    </row>
    <row r="908" spans="1:168" s="110" customFormat="1" x14ac:dyDescent="0.25">
      <c r="A908" s="11"/>
      <c r="B908" s="41" t="s">
        <v>2130</v>
      </c>
      <c r="D908" s="112"/>
      <c r="E908" s="112"/>
      <c r="F908" s="112"/>
      <c r="G908" s="112"/>
      <c r="K908" s="110">
        <v>1500</v>
      </c>
      <c r="DS908" s="113"/>
      <c r="DT908" s="113"/>
      <c r="DU908" s="113"/>
    </row>
    <row r="909" spans="1:168" s="110" customFormat="1" x14ac:dyDescent="0.25">
      <c r="A909" s="11"/>
      <c r="B909" s="41" t="s">
        <v>2131</v>
      </c>
      <c r="D909" s="112"/>
      <c r="E909" s="112"/>
      <c r="F909" s="112"/>
      <c r="G909" s="112"/>
      <c r="R909" s="110">
        <v>1000</v>
      </c>
      <c r="DS909" s="113"/>
      <c r="DT909" s="113"/>
      <c r="DU909" s="113"/>
    </row>
    <row r="910" spans="1:168" s="110" customFormat="1" x14ac:dyDescent="0.25">
      <c r="A910" s="11"/>
      <c r="B910" s="41" t="s">
        <v>2184</v>
      </c>
      <c r="D910" s="112"/>
      <c r="E910" s="112"/>
      <c r="F910" s="112"/>
      <c r="G910" s="112"/>
      <c r="DS910" s="113"/>
      <c r="DT910" s="113"/>
      <c r="DU910" s="113"/>
      <c r="EK910" s="110">
        <f>1870+200+25+155+200+610+100+60+1500+200+80+488+200+200+200+900+165+1000+130+1090+200+135+120+200+530+220+30+1000+270+200+430+90+30+200+655+310+600+120+200</f>
        <v>14913</v>
      </c>
    </row>
    <row r="911" spans="1:168" s="110" customFormat="1" x14ac:dyDescent="0.25">
      <c r="A911" s="11"/>
      <c r="B911" s="41" t="s">
        <v>2181</v>
      </c>
      <c r="D911" s="112"/>
      <c r="E911" s="112"/>
      <c r="F911" s="112"/>
      <c r="G911" s="112"/>
      <c r="DS911" s="113"/>
      <c r="DT911" s="113"/>
      <c r="DU911" s="113"/>
      <c r="FL911" s="110">
        <f>530+80</f>
        <v>610</v>
      </c>
    </row>
    <row r="912" spans="1:168" s="110" customFormat="1" x14ac:dyDescent="0.25">
      <c r="A912" s="11"/>
      <c r="B912" s="41" t="s">
        <v>2178</v>
      </c>
      <c r="D912" s="112"/>
      <c r="E912" s="112"/>
      <c r="F912" s="112"/>
      <c r="G912" s="112"/>
      <c r="DS912" s="113"/>
      <c r="DT912" s="113"/>
      <c r="DU912" s="113"/>
      <c r="ES912" s="110">
        <f>1000+1150+24330+1250+1200+1000+5100+700+1000</f>
        <v>36730</v>
      </c>
    </row>
    <row r="913" spans="1:184" s="110" customFormat="1" x14ac:dyDescent="0.25">
      <c r="A913" s="11"/>
      <c r="B913" s="41" t="s">
        <v>2180</v>
      </c>
      <c r="D913" s="112"/>
      <c r="E913" s="112"/>
      <c r="F913" s="112"/>
      <c r="G913" s="112"/>
      <c r="DS913" s="113"/>
      <c r="DT913" s="113"/>
      <c r="DU913" s="113"/>
      <c r="FA913" s="110">
        <f>10920</f>
        <v>10920</v>
      </c>
      <c r="FB913" s="110">
        <f>8510+14500+2000+12350</f>
        <v>37360</v>
      </c>
      <c r="FC913" s="110">
        <f>12900+14620+4200+2280+900+3100+3000+160+110+690+400+6000+1190+2000+65+605+195+1507+430+160+380+330+660+350+505+1180+200+2300+9100+900+750+2260+2130+3900+3150+170+2400+555+8850+2000+3690</f>
        <v>100272</v>
      </c>
    </row>
    <row r="914" spans="1:184" s="110" customFormat="1" x14ac:dyDescent="0.25">
      <c r="A914" s="11"/>
      <c r="B914" s="41" t="s">
        <v>2185</v>
      </c>
      <c r="D914" s="112"/>
      <c r="E914" s="112"/>
      <c r="F914" s="112"/>
      <c r="G914" s="112"/>
      <c r="DS914" s="113"/>
      <c r="DT914" s="113"/>
      <c r="DU914" s="113"/>
      <c r="EQ914" s="110">
        <f>200+1000+1200+200+500+200+500+500+200+150+1500</f>
        <v>6150</v>
      </c>
    </row>
    <row r="915" spans="1:184" s="110" customFormat="1" x14ac:dyDescent="0.25">
      <c r="A915" s="11"/>
      <c r="B915" s="41" t="s">
        <v>2177</v>
      </c>
      <c r="D915" s="112"/>
      <c r="E915" s="112"/>
      <c r="F915" s="112"/>
      <c r="G915" s="112"/>
      <c r="DS915" s="113"/>
      <c r="DT915" s="113"/>
      <c r="DU915" s="113"/>
      <c r="FK915" s="110">
        <f>850+1200+360+800</f>
        <v>3210</v>
      </c>
    </row>
    <row r="916" spans="1:184" s="110" customFormat="1" x14ac:dyDescent="0.25">
      <c r="A916" s="11"/>
      <c r="B916" s="111" t="s">
        <v>2174</v>
      </c>
      <c r="D916" s="112"/>
      <c r="E916" s="112"/>
      <c r="F916" s="112"/>
      <c r="G916" s="112"/>
      <c r="DS916" s="113"/>
      <c r="DT916" s="113"/>
      <c r="DU916" s="113"/>
      <c r="DW916" s="110">
        <f>5000+500+500+3000+400+1100+1000+17000+11000</f>
        <v>39500</v>
      </c>
    </row>
    <row r="917" spans="1:184" s="110" customFormat="1" x14ac:dyDescent="0.25">
      <c r="A917" s="11"/>
      <c r="B917" s="111" t="s">
        <v>2175</v>
      </c>
      <c r="D917" s="112"/>
      <c r="E917" s="112"/>
      <c r="F917" s="112"/>
      <c r="G917" s="112"/>
      <c r="DS917" s="113"/>
      <c r="DT917" s="113"/>
      <c r="DU917" s="113"/>
      <c r="GA917" s="110">
        <f>4600+1000+500</f>
        <v>6100</v>
      </c>
    </row>
    <row r="918" spans="1:184" s="110" customFormat="1" x14ac:dyDescent="0.25">
      <c r="A918" s="11"/>
      <c r="B918" s="111" t="s">
        <v>2182</v>
      </c>
      <c r="D918" s="112"/>
      <c r="E918" s="112"/>
      <c r="F918" s="112"/>
      <c r="G918" s="112"/>
      <c r="DS918" s="113"/>
      <c r="DT918" s="113"/>
      <c r="DU918" s="113"/>
      <c r="EM918" s="110">
        <f>1260+9000+400+1000+2000+1000</f>
        <v>14660</v>
      </c>
    </row>
    <row r="919" spans="1:184" s="110" customFormat="1" x14ac:dyDescent="0.25">
      <c r="A919" s="11"/>
      <c r="B919" s="111" t="s">
        <v>2186</v>
      </c>
      <c r="D919" s="112"/>
      <c r="E919" s="112"/>
      <c r="F919" s="112"/>
      <c r="G919" s="112"/>
      <c r="DS919" s="113"/>
      <c r="DT919" s="113"/>
      <c r="DU919" s="113"/>
      <c r="GB919" s="110">
        <f>1070+9300+4150+3470+600+3825+4100</f>
        <v>26515</v>
      </c>
    </row>
    <row r="920" spans="1:184" s="110" customFormat="1" x14ac:dyDescent="0.25">
      <c r="A920" s="11"/>
      <c r="B920" s="111" t="s">
        <v>2179</v>
      </c>
      <c r="D920" s="112"/>
      <c r="E920" s="112"/>
      <c r="F920" s="112"/>
      <c r="G920" s="112"/>
      <c r="DS920" s="113"/>
      <c r="DT920" s="113"/>
      <c r="DU920" s="113"/>
      <c r="ER920" s="110">
        <f>5000+7500+10000+3700</f>
        <v>26200</v>
      </c>
    </row>
    <row r="921" spans="1:184" s="110" customFormat="1" x14ac:dyDescent="0.25">
      <c r="A921" s="11"/>
      <c r="B921" s="111" t="s">
        <v>2173</v>
      </c>
      <c r="D921" s="112"/>
      <c r="E921" s="112"/>
      <c r="F921" s="112"/>
      <c r="G921" s="112"/>
      <c r="DS921" s="113"/>
      <c r="DT921" s="113"/>
      <c r="DU921" s="113"/>
      <c r="EL921" s="110">
        <f>2470</f>
        <v>2470</v>
      </c>
    </row>
    <row r="922" spans="1:184" s="110" customFormat="1" x14ac:dyDescent="0.25">
      <c r="A922" s="11"/>
      <c r="B922" s="111" t="s">
        <v>2187</v>
      </c>
      <c r="D922" s="112"/>
      <c r="E922" s="112"/>
      <c r="F922" s="112"/>
      <c r="G922" s="112"/>
      <c r="DS922" s="113"/>
      <c r="DT922" s="113"/>
      <c r="DU922" s="113"/>
      <c r="FZ922" s="110">
        <f>500+3500+150</f>
        <v>4150</v>
      </c>
    </row>
    <row r="923" spans="1:184" s="110" customFormat="1" x14ac:dyDescent="0.25">
      <c r="A923" s="11"/>
      <c r="B923" s="111" t="s">
        <v>2176</v>
      </c>
      <c r="D923" s="112"/>
      <c r="E923" s="112"/>
      <c r="F923" s="112"/>
      <c r="G923" s="112"/>
      <c r="DS923" s="113"/>
      <c r="DT923" s="113"/>
      <c r="DU923" s="113"/>
      <c r="EJ923" s="110">
        <f>7000+25000</f>
        <v>32000</v>
      </c>
    </row>
    <row r="924" spans="1:184" s="110" customFormat="1" x14ac:dyDescent="0.25">
      <c r="A924" s="11"/>
      <c r="B924" s="111" t="s">
        <v>2133</v>
      </c>
      <c r="D924" s="112"/>
      <c r="E924" s="112"/>
      <c r="F924" s="112"/>
      <c r="G924" s="112"/>
      <c r="DC924" s="110">
        <f>2500+500+147+604+2517</f>
        <v>6268</v>
      </c>
      <c r="DS924" s="113"/>
      <c r="DT924" s="113"/>
      <c r="DU924" s="113"/>
    </row>
    <row r="925" spans="1:184" s="110" customFormat="1" x14ac:dyDescent="0.25">
      <c r="A925" s="11"/>
      <c r="B925" s="111" t="s">
        <v>2132</v>
      </c>
      <c r="D925" s="112"/>
      <c r="E925" s="112"/>
      <c r="F925" s="112"/>
      <c r="G925" s="112"/>
      <c r="DS925" s="113"/>
      <c r="DT925" s="113"/>
      <c r="DU925" s="113"/>
      <c r="FD925" s="110">
        <v>400</v>
      </c>
    </row>
    <row r="926" spans="1:184" s="110" customFormat="1" x14ac:dyDescent="0.25">
      <c r="A926" s="11"/>
      <c r="B926" s="111" t="s">
        <v>2172</v>
      </c>
      <c r="D926" s="112"/>
      <c r="E926" s="112"/>
      <c r="F926" s="112"/>
      <c r="G926" s="112"/>
      <c r="DS926" s="113"/>
      <c r="DT926" s="113"/>
      <c r="DU926" s="113"/>
      <c r="EG926" s="110">
        <v>645</v>
      </c>
    </row>
    <row r="927" spans="1:184" s="110" customFormat="1" x14ac:dyDescent="0.25">
      <c r="A927" s="11"/>
      <c r="B927" s="111" t="s">
        <v>2170</v>
      </c>
      <c r="D927" s="112"/>
      <c r="E927" s="112"/>
      <c r="F927" s="112"/>
      <c r="G927" s="112"/>
      <c r="DS927" s="113"/>
      <c r="DT927" s="113"/>
      <c r="DU927" s="113"/>
      <c r="FJ927" s="110">
        <f>2330+500</f>
        <v>2830</v>
      </c>
    </row>
    <row r="928" spans="1:184" s="110" customFormat="1" x14ac:dyDescent="0.25">
      <c r="A928" s="11"/>
      <c r="B928" s="111" t="s">
        <v>2171</v>
      </c>
      <c r="D928" s="112"/>
      <c r="E928" s="112"/>
      <c r="F928" s="112"/>
      <c r="G928" s="112"/>
      <c r="DS928" s="113"/>
      <c r="DT928" s="113"/>
      <c r="DU928" s="113"/>
      <c r="EX928" s="110">
        <v>822</v>
      </c>
    </row>
    <row r="929" spans="1:199" s="7" customFormat="1" x14ac:dyDescent="0.25">
      <c r="A929" s="195" t="s">
        <v>1652</v>
      </c>
      <c r="B929" s="41" t="s">
        <v>1454</v>
      </c>
      <c r="C929" s="1">
        <v>-582750</v>
      </c>
      <c r="D929" s="11" t="s">
        <v>1922</v>
      </c>
      <c r="E929" s="11"/>
      <c r="F929" s="11"/>
      <c r="G929" s="11"/>
      <c r="AV929" s="7">
        <v>582750</v>
      </c>
      <c r="DS929" s="14"/>
      <c r="DT929" s="14"/>
      <c r="DU929" s="14"/>
    </row>
    <row r="930" spans="1:199" s="7" customFormat="1" x14ac:dyDescent="0.25">
      <c r="A930" s="195" t="s">
        <v>1652</v>
      </c>
      <c r="B930" s="41" t="s">
        <v>1545</v>
      </c>
      <c r="C930" s="1">
        <v>-288</v>
      </c>
      <c r="D930" s="11" t="s">
        <v>1923</v>
      </c>
      <c r="E930" s="11"/>
      <c r="F930" s="11"/>
      <c r="G930" s="11"/>
      <c r="DS930" s="14"/>
      <c r="DT930" s="14"/>
      <c r="DU930" s="14"/>
      <c r="EP930" s="7">
        <v>288</v>
      </c>
    </row>
    <row r="931" spans="1:199" s="58" customFormat="1" x14ac:dyDescent="0.25">
      <c r="A931" s="233" t="s">
        <v>1652</v>
      </c>
      <c r="B931" s="84" t="s">
        <v>1677</v>
      </c>
      <c r="C931" s="58">
        <v>-500000</v>
      </c>
      <c r="D931" s="233" t="s">
        <v>1924</v>
      </c>
      <c r="E931" s="249"/>
      <c r="F931" s="262"/>
      <c r="G931" s="262"/>
      <c r="BD931" s="58">
        <v>500000</v>
      </c>
      <c r="DS931" s="56"/>
      <c r="DT931" s="56"/>
      <c r="DU931" s="56"/>
    </row>
    <row r="932" spans="1:199" s="7" customFormat="1" x14ac:dyDescent="0.25">
      <c r="A932" s="195" t="s">
        <v>1678</v>
      </c>
      <c r="B932" s="173" t="s">
        <v>1607</v>
      </c>
      <c r="C932" s="1">
        <v>-50000</v>
      </c>
      <c r="D932" s="11" t="s">
        <v>1925</v>
      </c>
      <c r="E932" s="11"/>
      <c r="F932" s="11"/>
      <c r="G932" s="11"/>
      <c r="DO932" s="7">
        <v>50000</v>
      </c>
      <c r="DS932" s="14"/>
      <c r="DT932" s="14"/>
      <c r="DU932" s="14"/>
    </row>
    <row r="933" spans="1:199" s="58" customFormat="1" x14ac:dyDescent="0.25">
      <c r="A933" s="196" t="s">
        <v>1691</v>
      </c>
      <c r="B933" s="84" t="s">
        <v>1779</v>
      </c>
      <c r="C933" s="58">
        <v>-2655</v>
      </c>
      <c r="D933" s="11" t="s">
        <v>1926</v>
      </c>
      <c r="E933" s="11"/>
      <c r="F933" s="11"/>
      <c r="G933" s="11"/>
      <c r="DC933" s="58">
        <v>2655</v>
      </c>
      <c r="DS933" s="56"/>
      <c r="DT933" s="56"/>
      <c r="DU933" s="56"/>
    </row>
    <row r="934" spans="1:199" s="7" customFormat="1" x14ac:dyDescent="0.25">
      <c r="A934" s="195" t="s">
        <v>1692</v>
      </c>
      <c r="B934" s="173" t="s">
        <v>1625</v>
      </c>
      <c r="C934" s="1">
        <v>-54150</v>
      </c>
      <c r="D934" s="11" t="s">
        <v>1927</v>
      </c>
      <c r="E934" s="11"/>
      <c r="F934" s="11"/>
      <c r="G934" s="11"/>
      <c r="AQ934" s="7">
        <v>54150</v>
      </c>
      <c r="DS934" s="14"/>
      <c r="DT934" s="14"/>
      <c r="DU934" s="14"/>
    </row>
    <row r="935" spans="1:199" x14ac:dyDescent="0.25">
      <c r="A935" s="195" t="s">
        <v>1692</v>
      </c>
      <c r="B935" s="7" t="s">
        <v>1780</v>
      </c>
      <c r="C935" s="1">
        <v>-60</v>
      </c>
      <c r="D935" s="11" t="s">
        <v>1928</v>
      </c>
      <c r="E935" s="11"/>
      <c r="F935" s="11"/>
      <c r="G935" s="11"/>
      <c r="EK935" s="1">
        <v>60</v>
      </c>
    </row>
    <row r="936" spans="1:199" x14ac:dyDescent="0.25">
      <c r="B936" s="7"/>
    </row>
    <row r="937" spans="1:199" s="3" customFormat="1" x14ac:dyDescent="0.25">
      <c r="A937" s="2"/>
      <c r="B937" s="85" t="s">
        <v>1693</v>
      </c>
      <c r="C937" s="3">
        <f>SUM(C812:C936)</f>
        <v>855063</v>
      </c>
      <c r="D937" s="3">
        <f t="shared" ref="D937:BS937" si="35">SUM(D812:D936)</f>
        <v>0</v>
      </c>
      <c r="H937" s="3">
        <f t="shared" si="35"/>
        <v>5642300</v>
      </c>
      <c r="I937" s="3">
        <f t="shared" si="35"/>
        <v>0</v>
      </c>
      <c r="J937" s="3">
        <f t="shared" si="35"/>
        <v>0</v>
      </c>
      <c r="K937" s="3">
        <f t="shared" si="35"/>
        <v>1500</v>
      </c>
      <c r="L937" s="3">
        <f t="shared" si="35"/>
        <v>0</v>
      </c>
      <c r="M937" s="3">
        <f t="shared" si="35"/>
        <v>0</v>
      </c>
      <c r="N937" s="3">
        <f t="shared" si="35"/>
        <v>0</v>
      </c>
      <c r="O937" s="3">
        <f t="shared" si="35"/>
        <v>0</v>
      </c>
      <c r="P937" s="3">
        <f t="shared" si="35"/>
        <v>0</v>
      </c>
      <c r="Q937" s="3">
        <f t="shared" si="35"/>
        <v>17500</v>
      </c>
      <c r="R937" s="3">
        <f t="shared" si="35"/>
        <v>1000</v>
      </c>
      <c r="S937" s="3">
        <f t="shared" si="35"/>
        <v>0</v>
      </c>
      <c r="T937" s="3">
        <f t="shared" si="35"/>
        <v>0</v>
      </c>
      <c r="U937" s="3">
        <f t="shared" si="35"/>
        <v>0</v>
      </c>
      <c r="V937" s="3">
        <f t="shared" si="35"/>
        <v>0</v>
      </c>
      <c r="W937" s="3">
        <f t="shared" si="35"/>
        <v>0</v>
      </c>
      <c r="Y937" s="3">
        <f t="shared" si="35"/>
        <v>0</v>
      </c>
      <c r="Z937" s="3">
        <f t="shared" si="35"/>
        <v>0</v>
      </c>
      <c r="AA937" s="3">
        <f t="shared" si="35"/>
        <v>0</v>
      </c>
      <c r="AB937" s="3">
        <f t="shared" si="35"/>
        <v>24000</v>
      </c>
      <c r="AC937" s="3">
        <f t="shared" si="35"/>
        <v>20489</v>
      </c>
      <c r="AD937" s="3">
        <f t="shared" si="35"/>
        <v>0</v>
      </c>
      <c r="AE937" s="3">
        <f t="shared" si="35"/>
        <v>0</v>
      </c>
      <c r="AF937" s="3">
        <f t="shared" si="35"/>
        <v>4050</v>
      </c>
      <c r="AG937" s="3">
        <f t="shared" si="35"/>
        <v>1900000</v>
      </c>
      <c r="AH937" s="3">
        <f t="shared" si="35"/>
        <v>1165000</v>
      </c>
      <c r="AI937" s="3">
        <f t="shared" si="35"/>
        <v>18230</v>
      </c>
      <c r="AJ937" s="3">
        <f t="shared" si="35"/>
        <v>2000</v>
      </c>
      <c r="AK937" s="3">
        <f t="shared" si="35"/>
        <v>29000</v>
      </c>
      <c r="AL937" s="3">
        <f t="shared" si="35"/>
        <v>910500</v>
      </c>
      <c r="AM937" s="3">
        <f t="shared" si="35"/>
        <v>40000</v>
      </c>
      <c r="AN937" s="3">
        <f t="shared" si="35"/>
        <v>392000</v>
      </c>
      <c r="AO937" s="3">
        <f t="shared" si="35"/>
        <v>283644</v>
      </c>
      <c r="AP937" s="3">
        <f t="shared" si="35"/>
        <v>220000</v>
      </c>
      <c r="AQ937" s="3">
        <f t="shared" si="35"/>
        <v>2796050</v>
      </c>
      <c r="AR937" s="3">
        <f t="shared" si="35"/>
        <v>59400</v>
      </c>
      <c r="AS937" s="3">
        <f t="shared" si="35"/>
        <v>1478667</v>
      </c>
      <c r="AT937" s="3">
        <f t="shared" si="35"/>
        <v>0</v>
      </c>
      <c r="AU937" s="3">
        <f t="shared" si="35"/>
        <v>806000</v>
      </c>
      <c r="AV937" s="3">
        <f t="shared" si="35"/>
        <v>2331000</v>
      </c>
      <c r="AW937" s="3">
        <f t="shared" si="35"/>
        <v>333500</v>
      </c>
      <c r="AX937" s="3">
        <f t="shared" si="35"/>
        <v>220000</v>
      </c>
      <c r="AY937" s="3">
        <f t="shared" si="35"/>
        <v>185000</v>
      </c>
      <c r="AZ937" s="3">
        <f t="shared" si="35"/>
        <v>170000</v>
      </c>
      <c r="BA937" s="3">
        <f t="shared" si="35"/>
        <v>120000</v>
      </c>
      <c r="BB937" s="3">
        <f t="shared" si="35"/>
        <v>53500</v>
      </c>
      <c r="BC937" s="3">
        <f t="shared" si="35"/>
        <v>0</v>
      </c>
      <c r="BD937" s="3">
        <f t="shared" si="35"/>
        <v>1497500</v>
      </c>
      <c r="BE937" s="3">
        <f t="shared" si="35"/>
        <v>22000</v>
      </c>
      <c r="BF937" s="3">
        <f t="shared" si="35"/>
        <v>127592</v>
      </c>
      <c r="BG937" s="3">
        <f t="shared" si="35"/>
        <v>230000</v>
      </c>
      <c r="BH937" s="3">
        <f t="shared" si="35"/>
        <v>41500</v>
      </c>
      <c r="BI937" s="3">
        <f t="shared" si="35"/>
        <v>0</v>
      </c>
      <c r="BJ937" s="3">
        <f t="shared" si="35"/>
        <v>0</v>
      </c>
      <c r="BK937" s="3">
        <f t="shared" si="35"/>
        <v>1400000</v>
      </c>
      <c r="BL937" s="3">
        <f t="shared" si="35"/>
        <v>0</v>
      </c>
      <c r="BM937" s="3">
        <f t="shared" si="35"/>
        <v>0</v>
      </c>
      <c r="BN937" s="3">
        <f t="shared" si="35"/>
        <v>0</v>
      </c>
      <c r="BO937" s="3">
        <f t="shared" si="35"/>
        <v>250000</v>
      </c>
      <c r="BP937" s="3">
        <f t="shared" si="35"/>
        <v>0</v>
      </c>
      <c r="BQ937" s="3">
        <f t="shared" si="35"/>
        <v>0</v>
      </c>
      <c r="BR937" s="3">
        <f t="shared" si="35"/>
        <v>0</v>
      </c>
      <c r="BS937" s="3">
        <f t="shared" si="35"/>
        <v>0</v>
      </c>
      <c r="BT937" s="3">
        <f t="shared" ref="BT937:EJ937" si="36">SUM(BT812:BT936)</f>
        <v>0</v>
      </c>
      <c r="BU937" s="3">
        <f t="shared" si="36"/>
        <v>0</v>
      </c>
      <c r="BV937" s="3">
        <f t="shared" si="36"/>
        <v>0</v>
      </c>
      <c r="BW937" s="3">
        <f t="shared" si="36"/>
        <v>0</v>
      </c>
      <c r="BX937" s="3">
        <f t="shared" si="36"/>
        <v>0</v>
      </c>
      <c r="BY937" s="3">
        <f t="shared" si="36"/>
        <v>0</v>
      </c>
      <c r="BZ937" s="3">
        <f t="shared" si="36"/>
        <v>0</v>
      </c>
      <c r="CA937" s="3">
        <f t="shared" si="36"/>
        <v>0</v>
      </c>
      <c r="CB937" s="3">
        <f t="shared" si="36"/>
        <v>0</v>
      </c>
      <c r="CC937" s="3">
        <f t="shared" si="36"/>
        <v>0</v>
      </c>
      <c r="CD937" s="3">
        <f t="shared" si="36"/>
        <v>0</v>
      </c>
      <c r="CE937" s="3">
        <f t="shared" si="36"/>
        <v>0</v>
      </c>
      <c r="CF937" s="3">
        <f t="shared" si="36"/>
        <v>0</v>
      </c>
      <c r="CG937" s="3">
        <f t="shared" si="36"/>
        <v>0</v>
      </c>
      <c r="CH937" s="3">
        <f t="shared" si="36"/>
        <v>0</v>
      </c>
      <c r="CI937" s="3">
        <f t="shared" si="36"/>
        <v>0</v>
      </c>
      <c r="CJ937" s="3">
        <f t="shared" si="36"/>
        <v>0</v>
      </c>
      <c r="CK937" s="3">
        <f t="shared" si="36"/>
        <v>0</v>
      </c>
      <c r="CL937" s="3">
        <f t="shared" si="36"/>
        <v>0</v>
      </c>
      <c r="CM937" s="3">
        <f t="shared" si="36"/>
        <v>0</v>
      </c>
      <c r="CN937" s="3">
        <f t="shared" si="36"/>
        <v>0</v>
      </c>
      <c r="CO937" s="3">
        <f t="shared" si="36"/>
        <v>120</v>
      </c>
      <c r="CR937" s="3">
        <f t="shared" si="36"/>
        <v>50</v>
      </c>
      <c r="CS937" s="3">
        <f t="shared" si="36"/>
        <v>8400</v>
      </c>
      <c r="CT937" s="3">
        <f t="shared" si="36"/>
        <v>0</v>
      </c>
      <c r="CV937" s="3">
        <f t="shared" si="36"/>
        <v>28911</v>
      </c>
      <c r="CW937" s="3">
        <f t="shared" si="36"/>
        <v>0</v>
      </c>
      <c r="CX937" s="3">
        <f t="shared" si="36"/>
        <v>0</v>
      </c>
      <c r="CY937" s="3">
        <f t="shared" si="36"/>
        <v>300</v>
      </c>
      <c r="CZ937" s="3">
        <f t="shared" si="36"/>
        <v>0</v>
      </c>
      <c r="DA937" s="3">
        <f t="shared" si="36"/>
        <v>0</v>
      </c>
      <c r="DB937" s="3">
        <f t="shared" si="36"/>
        <v>0</v>
      </c>
      <c r="DC937" s="3">
        <f t="shared" si="36"/>
        <v>139496</v>
      </c>
      <c r="DD937" s="3">
        <f t="shared" si="36"/>
        <v>0</v>
      </c>
      <c r="DE937" s="3">
        <f t="shared" si="36"/>
        <v>0</v>
      </c>
      <c r="DF937" s="3">
        <f t="shared" si="36"/>
        <v>0</v>
      </c>
      <c r="DG937" s="3">
        <f t="shared" si="36"/>
        <v>0</v>
      </c>
      <c r="DI937" s="3">
        <f t="shared" si="36"/>
        <v>140000</v>
      </c>
      <c r="DJ937" s="3">
        <f t="shared" si="36"/>
        <v>0</v>
      </c>
      <c r="DK937" s="3">
        <f t="shared" si="36"/>
        <v>199790</v>
      </c>
      <c r="DL937" s="3">
        <f t="shared" si="36"/>
        <v>157680</v>
      </c>
      <c r="DM937" s="3">
        <f t="shared" si="36"/>
        <v>53700</v>
      </c>
      <c r="DN937" s="3">
        <f t="shared" si="36"/>
        <v>27500</v>
      </c>
      <c r="DO937" s="3">
        <f t="shared" si="36"/>
        <v>605600</v>
      </c>
      <c r="DP937" s="3">
        <f t="shared" si="36"/>
        <v>15600</v>
      </c>
      <c r="DQ937" s="3">
        <f t="shared" si="36"/>
        <v>0</v>
      </c>
      <c r="DR937" s="3">
        <f t="shared" si="36"/>
        <v>0</v>
      </c>
      <c r="DS937" s="3">
        <f t="shared" si="36"/>
        <v>0</v>
      </c>
      <c r="DT937" s="3">
        <f t="shared" si="36"/>
        <v>0</v>
      </c>
      <c r="DU937" s="3">
        <f t="shared" si="36"/>
        <v>0</v>
      </c>
      <c r="DV937" s="3">
        <f t="shared" si="36"/>
        <v>0</v>
      </c>
      <c r="DW937" s="3">
        <f t="shared" si="36"/>
        <v>39500</v>
      </c>
      <c r="DX937" s="3">
        <f t="shared" si="36"/>
        <v>0</v>
      </c>
      <c r="DY937" s="3">
        <f t="shared" si="36"/>
        <v>0</v>
      </c>
      <c r="DZ937" s="3">
        <f t="shared" si="36"/>
        <v>0</v>
      </c>
      <c r="EB937" s="3">
        <f t="shared" si="36"/>
        <v>0</v>
      </c>
      <c r="EC937" s="3">
        <f t="shared" si="36"/>
        <v>0</v>
      </c>
      <c r="ED937" s="3">
        <f t="shared" si="36"/>
        <v>0</v>
      </c>
      <c r="EE937" s="3">
        <f t="shared" si="36"/>
        <v>0</v>
      </c>
      <c r="EF937" s="3">
        <f t="shared" si="36"/>
        <v>0</v>
      </c>
      <c r="EG937" s="3">
        <f t="shared" si="36"/>
        <v>645</v>
      </c>
      <c r="EH937" s="3">
        <f t="shared" si="36"/>
        <v>323</v>
      </c>
      <c r="EI937" s="3">
        <f t="shared" si="36"/>
        <v>0</v>
      </c>
      <c r="EJ937" s="3">
        <f t="shared" si="36"/>
        <v>32000</v>
      </c>
      <c r="EK937" s="3">
        <f t="shared" ref="EK937:GD937" si="37">SUM(EK812:EK936)</f>
        <v>19998</v>
      </c>
      <c r="EL937" s="3">
        <f t="shared" si="37"/>
        <v>2470</v>
      </c>
      <c r="EM937" s="3">
        <f t="shared" si="37"/>
        <v>14660</v>
      </c>
      <c r="EN937" s="3">
        <f t="shared" si="37"/>
        <v>0</v>
      </c>
      <c r="EO937" s="3">
        <f t="shared" si="37"/>
        <v>0</v>
      </c>
      <c r="EP937" s="3">
        <f t="shared" si="37"/>
        <v>715</v>
      </c>
      <c r="EQ937" s="3">
        <f t="shared" si="37"/>
        <v>6150</v>
      </c>
      <c r="ER937" s="3">
        <f t="shared" si="37"/>
        <v>56400</v>
      </c>
      <c r="ES937" s="3">
        <f t="shared" si="37"/>
        <v>46185</v>
      </c>
      <c r="ET937" s="3">
        <f t="shared" si="37"/>
        <v>0</v>
      </c>
      <c r="EU937" s="3">
        <f t="shared" si="37"/>
        <v>0</v>
      </c>
      <c r="EV937" s="3">
        <f t="shared" si="37"/>
        <v>0</v>
      </c>
      <c r="EW937" s="3">
        <f t="shared" si="37"/>
        <v>0</v>
      </c>
      <c r="EX937" s="3">
        <f t="shared" si="37"/>
        <v>822</v>
      </c>
      <c r="EY937" s="3">
        <f t="shared" si="37"/>
        <v>1240</v>
      </c>
      <c r="EZ937" s="3">
        <f t="shared" si="37"/>
        <v>0</v>
      </c>
      <c r="FA937" s="3">
        <f t="shared" si="37"/>
        <v>10920</v>
      </c>
      <c r="FB937" s="3">
        <f t="shared" si="37"/>
        <v>37360</v>
      </c>
      <c r="FC937" s="3">
        <f t="shared" si="37"/>
        <v>104372</v>
      </c>
      <c r="FD937" s="3">
        <f t="shared" si="37"/>
        <v>6756</v>
      </c>
      <c r="FE937" s="3">
        <f t="shared" si="37"/>
        <v>57090</v>
      </c>
      <c r="FF937" s="3">
        <f t="shared" si="37"/>
        <v>0</v>
      </c>
      <c r="FG937" s="3">
        <f t="shared" si="37"/>
        <v>0</v>
      </c>
      <c r="FH937" s="3">
        <f t="shared" si="37"/>
        <v>0</v>
      </c>
      <c r="FI937" s="3">
        <f t="shared" si="37"/>
        <v>538000</v>
      </c>
      <c r="FJ937" s="3">
        <f t="shared" si="37"/>
        <v>25830</v>
      </c>
      <c r="FK937" s="3">
        <f t="shared" si="37"/>
        <v>3210</v>
      </c>
      <c r="FL937" s="3">
        <f t="shared" si="37"/>
        <v>610</v>
      </c>
      <c r="FM937" s="3">
        <f t="shared" si="37"/>
        <v>0</v>
      </c>
      <c r="FN937" s="3">
        <f t="shared" si="37"/>
        <v>0</v>
      </c>
      <c r="FO937" s="3">
        <f t="shared" si="37"/>
        <v>0</v>
      </c>
      <c r="FP937" s="3">
        <f t="shared" si="37"/>
        <v>0</v>
      </c>
      <c r="FQ937" s="3">
        <f t="shared" si="37"/>
        <v>0</v>
      </c>
      <c r="FR937" s="3">
        <f t="shared" si="37"/>
        <v>68225</v>
      </c>
      <c r="FS937" s="3">
        <f t="shared" si="37"/>
        <v>0</v>
      </c>
      <c r="FT937" s="3">
        <f t="shared" si="37"/>
        <v>0</v>
      </c>
      <c r="FU937" s="3">
        <f t="shared" si="37"/>
        <v>0</v>
      </c>
      <c r="FV937" s="3">
        <f t="shared" si="37"/>
        <v>0</v>
      </c>
      <c r="FW937" s="3">
        <f t="shared" si="37"/>
        <v>0</v>
      </c>
      <c r="FX937" s="3">
        <f t="shared" si="37"/>
        <v>0</v>
      </c>
      <c r="FY937" s="3">
        <f t="shared" si="37"/>
        <v>0</v>
      </c>
      <c r="FZ937" s="3">
        <f t="shared" si="37"/>
        <v>5080</v>
      </c>
      <c r="GA937" s="3">
        <f t="shared" si="37"/>
        <v>6100</v>
      </c>
      <c r="GB937" s="3">
        <f t="shared" si="37"/>
        <v>31905</v>
      </c>
      <c r="GC937" s="3">
        <f t="shared" si="37"/>
        <v>0</v>
      </c>
      <c r="GD937" s="3">
        <f t="shared" si="37"/>
        <v>3197500</v>
      </c>
    </row>
    <row r="941" spans="1:199" x14ac:dyDescent="0.25">
      <c r="H941" s="8"/>
      <c r="I941" s="378" t="s">
        <v>205</v>
      </c>
      <c r="J941" s="378"/>
      <c r="K941" s="378"/>
      <c r="L941" s="378"/>
      <c r="M941" s="378"/>
      <c r="N941" s="378"/>
      <c r="O941" s="378"/>
      <c r="P941" s="378"/>
      <c r="Q941" s="378"/>
      <c r="R941" s="378"/>
      <c r="S941" s="378"/>
      <c r="T941" s="378"/>
      <c r="U941" s="378"/>
      <c r="V941" s="378"/>
      <c r="W941" s="378"/>
      <c r="X941" s="378"/>
      <c r="Y941" s="378"/>
      <c r="Z941" s="378" t="s">
        <v>90</v>
      </c>
      <c r="AA941" s="378"/>
      <c r="AB941" s="378"/>
      <c r="AC941" s="378"/>
      <c r="AD941" s="378"/>
      <c r="AE941" s="378"/>
      <c r="AF941" s="378"/>
      <c r="AG941" s="378"/>
      <c r="AH941" s="378"/>
      <c r="AI941" s="378"/>
      <c r="AJ941" s="378"/>
      <c r="AK941" s="378"/>
      <c r="AL941" s="378"/>
      <c r="AM941" s="378"/>
      <c r="AN941" s="378"/>
      <c r="AO941" s="378"/>
      <c r="AP941" s="378"/>
      <c r="AQ941" s="378"/>
      <c r="AR941" s="378"/>
      <c r="AS941" s="378"/>
      <c r="AT941" s="378"/>
      <c r="AU941" s="378"/>
      <c r="AV941" s="378"/>
      <c r="AW941" s="378"/>
      <c r="AX941" s="378"/>
      <c r="AY941" s="378"/>
      <c r="AZ941" s="378"/>
      <c r="BA941" s="378"/>
      <c r="BB941" s="378"/>
      <c r="BC941" s="378"/>
      <c r="BD941" s="378"/>
      <c r="BE941" s="378"/>
      <c r="BF941" s="378"/>
      <c r="BG941" s="378"/>
      <c r="BH941" s="378"/>
      <c r="BI941" s="378" t="s">
        <v>77</v>
      </c>
      <c r="BJ941" s="378"/>
      <c r="BK941" s="378"/>
      <c r="BL941" s="378"/>
      <c r="BM941" s="378"/>
      <c r="BN941" s="378" t="s">
        <v>65</v>
      </c>
      <c r="BO941" s="378"/>
      <c r="BP941" s="378"/>
      <c r="BQ941" s="378" t="s">
        <v>15</v>
      </c>
      <c r="BR941" s="378"/>
      <c r="BS941" s="378"/>
      <c r="BT941" s="378"/>
      <c r="BU941" s="378"/>
      <c r="BV941" s="378"/>
      <c r="BW941" s="378"/>
      <c r="BX941" s="378"/>
      <c r="BY941" s="378"/>
      <c r="BZ941" s="378"/>
      <c r="CA941" s="378"/>
      <c r="CB941" s="378"/>
      <c r="CC941" s="378"/>
      <c r="CD941" s="378"/>
      <c r="CE941" s="378" t="s">
        <v>4</v>
      </c>
      <c r="CF941" s="378"/>
      <c r="CG941" s="378"/>
      <c r="CH941" s="378"/>
      <c r="CI941" s="378"/>
      <c r="CJ941" s="378"/>
      <c r="CK941" s="378"/>
      <c r="CL941" s="378"/>
      <c r="CM941" s="378"/>
      <c r="CN941" s="378"/>
      <c r="CO941" s="378" t="s">
        <v>21</v>
      </c>
      <c r="CP941" s="378"/>
      <c r="CQ941" s="378"/>
      <c r="CR941" s="378"/>
      <c r="CS941" s="378"/>
      <c r="CT941" s="378"/>
      <c r="CU941" s="378"/>
      <c r="CV941" s="378"/>
      <c r="CW941" s="378"/>
      <c r="CX941" s="378"/>
      <c r="CY941" s="378"/>
      <c r="CZ941" s="378"/>
      <c r="DA941" s="378"/>
      <c r="DB941" s="378"/>
      <c r="DC941" s="378"/>
      <c r="DD941" s="378"/>
      <c r="DE941" s="378"/>
      <c r="DF941" s="378"/>
      <c r="DG941" s="378"/>
      <c r="DH941" s="378"/>
      <c r="DI941" s="378"/>
      <c r="DK941" s="187"/>
      <c r="DL941" s="187"/>
      <c r="DM941" s="187"/>
      <c r="DN941" s="187"/>
      <c r="DO941" s="187"/>
      <c r="DP941" s="374" t="s">
        <v>317</v>
      </c>
      <c r="DQ941" s="374"/>
      <c r="DR941" s="374"/>
      <c r="DS941" s="374"/>
      <c r="DT941" s="374"/>
      <c r="DU941" s="374"/>
      <c r="DV941" s="374"/>
      <c r="DW941" s="374"/>
      <c r="DX941" s="374"/>
      <c r="DY941" s="374"/>
      <c r="DZ941" s="374"/>
      <c r="EA941" s="374"/>
      <c r="EB941" s="374"/>
      <c r="EC941" s="374"/>
      <c r="ED941" s="374"/>
      <c r="EE941" s="374"/>
      <c r="EF941" s="374"/>
      <c r="EG941" s="374"/>
      <c r="EH941" s="374"/>
      <c r="EI941" s="374"/>
      <c r="EJ941" s="374"/>
      <c r="EK941" s="374"/>
      <c r="EL941" s="374"/>
      <c r="EM941" s="374"/>
      <c r="EN941" s="374"/>
      <c r="EO941" s="374"/>
      <c r="EP941" s="374"/>
      <c r="EQ941" s="374"/>
      <c r="ER941" s="374"/>
      <c r="ES941" s="374"/>
      <c r="ET941" s="374"/>
      <c r="EU941" s="374"/>
      <c r="EV941" s="374"/>
      <c r="EW941" s="374"/>
      <c r="EX941" s="374"/>
      <c r="EY941" s="374"/>
      <c r="EZ941" s="374"/>
      <c r="FA941" s="374"/>
      <c r="FB941" s="374"/>
      <c r="FC941" s="374"/>
      <c r="FD941" s="374"/>
      <c r="FE941" s="374"/>
      <c r="FF941" s="374"/>
      <c r="FG941" s="374"/>
      <c r="FH941" s="374"/>
      <c r="FI941" s="374"/>
      <c r="FJ941" s="374"/>
      <c r="FK941" s="374"/>
      <c r="FL941" s="374"/>
      <c r="FM941" s="374"/>
      <c r="FN941" s="374"/>
      <c r="FO941" s="374"/>
      <c r="FP941" s="374"/>
      <c r="FQ941" s="374"/>
      <c r="FR941" s="374"/>
      <c r="FS941" s="374"/>
      <c r="FT941" s="374"/>
      <c r="FU941" s="374"/>
      <c r="FV941" s="374"/>
      <c r="FW941" s="374"/>
      <c r="FX941" s="374"/>
      <c r="FY941" s="188"/>
      <c r="FZ941" s="188"/>
      <c r="GA941" s="188"/>
      <c r="GB941" s="188"/>
      <c r="GC941" s="191"/>
      <c r="GD941" s="58"/>
      <c r="GE941" s="58"/>
    </row>
    <row r="942" spans="1:199" s="187" customFormat="1" x14ac:dyDescent="0.25">
      <c r="A942" s="195" t="s">
        <v>0</v>
      </c>
      <c r="B942" s="187" t="s">
        <v>5</v>
      </c>
      <c r="C942" s="187" t="s">
        <v>89</v>
      </c>
      <c r="D942" s="220" t="s">
        <v>95</v>
      </c>
      <c r="E942" s="247"/>
      <c r="F942" s="260"/>
      <c r="G942" s="260"/>
      <c r="H942" s="187" t="s">
        <v>28</v>
      </c>
      <c r="I942" s="214" t="s">
        <v>382</v>
      </c>
      <c r="J942" s="214" t="s">
        <v>2044</v>
      </c>
      <c r="K942" s="214" t="s">
        <v>2045</v>
      </c>
      <c r="L942" s="214" t="s">
        <v>2046</v>
      </c>
      <c r="M942" s="214" t="s">
        <v>1548</v>
      </c>
      <c r="N942" s="214" t="s">
        <v>1658</v>
      </c>
      <c r="O942" s="214" t="s">
        <v>1660</v>
      </c>
      <c r="P942" s="214" t="s">
        <v>1659</v>
      </c>
      <c r="Q942" s="214" t="s">
        <v>705</v>
      </c>
      <c r="R942" s="214" t="s">
        <v>1661</v>
      </c>
      <c r="S942" s="214" t="s">
        <v>93</v>
      </c>
      <c r="T942" s="214" t="s">
        <v>567</v>
      </c>
      <c r="U942" s="214" t="s">
        <v>1368</v>
      </c>
      <c r="V942" s="214" t="s">
        <v>353</v>
      </c>
      <c r="W942" s="214" t="s">
        <v>206</v>
      </c>
      <c r="X942" s="240" t="s">
        <v>2204</v>
      </c>
      <c r="Y942" s="214" t="s">
        <v>207</v>
      </c>
      <c r="Z942" s="187" t="s">
        <v>91</v>
      </c>
      <c r="AA942" s="187" t="s">
        <v>261</v>
      </c>
      <c r="AB942" s="187" t="s">
        <v>606</v>
      </c>
      <c r="AC942" s="187" t="s">
        <v>938</v>
      </c>
      <c r="AD942" s="187" t="s">
        <v>674</v>
      </c>
      <c r="AE942" s="187" t="s">
        <v>1565</v>
      </c>
      <c r="AF942" s="187" t="s">
        <v>1507</v>
      </c>
      <c r="AG942" s="187" t="s">
        <v>531</v>
      </c>
      <c r="AH942" s="187" t="s">
        <v>541</v>
      </c>
      <c r="AI942" s="187" t="s">
        <v>382</v>
      </c>
      <c r="AJ942" s="187" t="s">
        <v>708</v>
      </c>
      <c r="AK942" s="187" t="s">
        <v>553</v>
      </c>
      <c r="AL942" s="187" t="s">
        <v>93</v>
      </c>
      <c r="AM942" s="187" t="s">
        <v>632</v>
      </c>
      <c r="AN942" s="240" t="s">
        <v>2191</v>
      </c>
      <c r="AO942" s="187" t="s">
        <v>931</v>
      </c>
      <c r="AP942" s="187" t="s">
        <v>1566</v>
      </c>
      <c r="AQ942" s="187" t="s">
        <v>635</v>
      </c>
      <c r="AR942" s="187" t="s">
        <v>1425</v>
      </c>
      <c r="AS942" s="187" t="s">
        <v>1530</v>
      </c>
      <c r="AT942" s="192" t="s">
        <v>1732</v>
      </c>
      <c r="AU942" s="187" t="s">
        <v>895</v>
      </c>
      <c r="AV942" s="187" t="s">
        <v>1459</v>
      </c>
      <c r="AW942" s="187" t="s">
        <v>1240</v>
      </c>
      <c r="AX942" s="187" t="s">
        <v>1505</v>
      </c>
      <c r="AY942" s="187" t="s">
        <v>556</v>
      </c>
      <c r="AZ942" s="187" t="s">
        <v>1434</v>
      </c>
      <c r="BA942" s="187" t="s">
        <v>640</v>
      </c>
      <c r="BB942" s="187" t="s">
        <v>552</v>
      </c>
      <c r="BC942" s="187" t="s">
        <v>565</v>
      </c>
      <c r="BD942" s="187" t="s">
        <v>597</v>
      </c>
      <c r="BE942" s="187" t="s">
        <v>488</v>
      </c>
      <c r="BF942" s="187" t="s">
        <v>1247</v>
      </c>
      <c r="BG942" s="187" t="s">
        <v>242</v>
      </c>
      <c r="BH942" s="187" t="s">
        <v>92</v>
      </c>
      <c r="BI942" s="187" t="s">
        <v>80</v>
      </c>
      <c r="BJ942" s="187" t="s">
        <v>1430</v>
      </c>
      <c r="BK942" s="187" t="s">
        <v>256</v>
      </c>
      <c r="BL942" s="187" t="s">
        <v>673</v>
      </c>
      <c r="BM942" s="187" t="s">
        <v>81</v>
      </c>
      <c r="BN942" s="187" t="s">
        <v>80</v>
      </c>
      <c r="BO942" s="187" t="s">
        <v>1430</v>
      </c>
      <c r="BP942" s="187" t="s">
        <v>81</v>
      </c>
      <c r="BQ942" s="187" t="s">
        <v>226</v>
      </c>
      <c r="BR942" s="187" t="s">
        <v>69</v>
      </c>
      <c r="BS942" s="187" t="s">
        <v>84</v>
      </c>
      <c r="BT942" s="187" t="s">
        <v>76</v>
      </c>
      <c r="BU942" s="187" t="s">
        <v>38</v>
      </c>
      <c r="BV942" s="187" t="s">
        <v>271</v>
      </c>
      <c r="BW942" s="187" t="s">
        <v>34</v>
      </c>
      <c r="BX942" s="187" t="s">
        <v>35</v>
      </c>
      <c r="BY942" s="187" t="s">
        <v>6</v>
      </c>
      <c r="BZ942" s="187" t="s">
        <v>82</v>
      </c>
      <c r="CA942" s="187" t="s">
        <v>63</v>
      </c>
      <c r="CB942" s="187" t="s">
        <v>68</v>
      </c>
      <c r="CC942" s="187" t="s">
        <v>221</v>
      </c>
      <c r="CD942" s="187" t="s">
        <v>83</v>
      </c>
      <c r="CE942" s="187" t="s">
        <v>37</v>
      </c>
      <c r="CF942" s="187" t="s">
        <v>74</v>
      </c>
      <c r="CG942" s="187" t="s">
        <v>39</v>
      </c>
      <c r="CH942" s="187" t="s">
        <v>6</v>
      </c>
      <c r="CI942" s="187" t="s">
        <v>38</v>
      </c>
      <c r="CJ942" s="187" t="s">
        <v>78</v>
      </c>
      <c r="CK942" s="187" t="s">
        <v>79</v>
      </c>
      <c r="CL942" s="187" t="s">
        <v>59</v>
      </c>
      <c r="CM942" s="187" t="s">
        <v>36</v>
      </c>
      <c r="CN942" s="187" t="s">
        <v>63</v>
      </c>
      <c r="CO942" s="187" t="s">
        <v>38</v>
      </c>
      <c r="CP942" s="338"/>
      <c r="CQ942" s="347"/>
      <c r="CR942" s="187" t="s">
        <v>6</v>
      </c>
      <c r="CS942" s="187" t="s">
        <v>37</v>
      </c>
      <c r="CT942" s="187" t="s">
        <v>1186</v>
      </c>
      <c r="CU942" s="359"/>
      <c r="CV942" s="187" t="s">
        <v>1189</v>
      </c>
      <c r="CW942" s="187" t="s">
        <v>39</v>
      </c>
      <c r="CX942" s="187" t="s">
        <v>690</v>
      </c>
      <c r="CY942" s="187" t="s">
        <v>19</v>
      </c>
      <c r="CZ942" s="230" t="s">
        <v>2125</v>
      </c>
      <c r="DA942" s="187" t="s">
        <v>68</v>
      </c>
      <c r="DB942" s="187" t="s">
        <v>323</v>
      </c>
      <c r="DC942" s="187" t="s">
        <v>69</v>
      </c>
      <c r="DD942" s="197" t="s">
        <v>1776</v>
      </c>
      <c r="DE942" s="220" t="s">
        <v>2065</v>
      </c>
      <c r="DF942" s="187" t="s">
        <v>377</v>
      </c>
      <c r="DG942" s="187" t="s">
        <v>1514</v>
      </c>
      <c r="DH942" s="354"/>
      <c r="DI942" s="187" t="s">
        <v>62</v>
      </c>
      <c r="DJ942" s="8" t="s">
        <v>392</v>
      </c>
      <c r="DK942" s="240" t="s">
        <v>2190</v>
      </c>
      <c r="DL942" s="187" t="s">
        <v>604</v>
      </c>
      <c r="DM942" s="187" t="s">
        <v>1132</v>
      </c>
      <c r="DN942" s="187" t="s">
        <v>1248</v>
      </c>
      <c r="DO942" s="187" t="s">
        <v>634</v>
      </c>
      <c r="DP942" s="187" t="s">
        <v>306</v>
      </c>
      <c r="DQ942" s="187" t="s">
        <v>896</v>
      </c>
      <c r="DR942" s="66" t="s">
        <v>307</v>
      </c>
      <c r="DS942" s="238" t="s">
        <v>2141</v>
      </c>
      <c r="DT942" s="238" t="s">
        <v>2142</v>
      </c>
      <c r="DU942" s="238" t="s">
        <v>2143</v>
      </c>
      <c r="DV942" s="187" t="s">
        <v>69</v>
      </c>
      <c r="DW942" s="187" t="s">
        <v>1672</v>
      </c>
      <c r="DX942" s="187" t="s">
        <v>84</v>
      </c>
      <c r="DY942" s="187" t="s">
        <v>712</v>
      </c>
      <c r="DZ942" s="187" t="s">
        <v>710</v>
      </c>
      <c r="EA942" s="240" t="s">
        <v>2203</v>
      </c>
      <c r="EB942" s="223" t="s">
        <v>2093</v>
      </c>
      <c r="EC942" s="187" t="s">
        <v>1289</v>
      </c>
      <c r="ED942" s="187" t="s">
        <v>902</v>
      </c>
      <c r="EE942" s="187" t="s">
        <v>888</v>
      </c>
      <c r="EF942" s="187" t="s">
        <v>624</v>
      </c>
      <c r="EG942" s="187" t="s">
        <v>699</v>
      </c>
      <c r="EH942" s="187" t="s">
        <v>37</v>
      </c>
      <c r="EI942" s="223" t="s">
        <v>2089</v>
      </c>
      <c r="EJ942" s="187" t="s">
        <v>76</v>
      </c>
      <c r="EK942" s="187" t="s">
        <v>38</v>
      </c>
      <c r="EL942" s="187" t="s">
        <v>611</v>
      </c>
      <c r="EM942" s="187" t="s">
        <v>612</v>
      </c>
      <c r="EN942" s="187" t="s">
        <v>613</v>
      </c>
      <c r="EO942" s="187" t="s">
        <v>620</v>
      </c>
      <c r="EP942" s="187" t="s">
        <v>377</v>
      </c>
      <c r="EQ942" s="187" t="s">
        <v>271</v>
      </c>
      <c r="ER942" s="187" t="s">
        <v>34</v>
      </c>
      <c r="ES942" s="187" t="s">
        <v>35</v>
      </c>
      <c r="ET942" s="187" t="s">
        <v>713</v>
      </c>
      <c r="EU942" s="187" t="s">
        <v>621</v>
      </c>
      <c r="EV942" s="187" t="s">
        <v>622</v>
      </c>
      <c r="EW942" s="187" t="s">
        <v>623</v>
      </c>
      <c r="EX942" s="214" t="s">
        <v>2047</v>
      </c>
      <c r="EY942" s="187" t="s">
        <v>6</v>
      </c>
      <c r="EZ942" s="187" t="s">
        <v>603</v>
      </c>
      <c r="FA942" s="187" t="s">
        <v>618</v>
      </c>
      <c r="FB942" s="187" t="s">
        <v>1249</v>
      </c>
      <c r="FC942" s="187" t="s">
        <v>82</v>
      </c>
      <c r="FD942" s="187" t="s">
        <v>489</v>
      </c>
      <c r="FE942" s="187" t="s">
        <v>63</v>
      </c>
      <c r="FF942" s="187" t="s">
        <v>68</v>
      </c>
      <c r="FG942" s="187" t="s">
        <v>442</v>
      </c>
      <c r="FH942" s="187" t="s">
        <v>1371</v>
      </c>
      <c r="FI942" s="187" t="s">
        <v>1593</v>
      </c>
      <c r="FJ942" s="187" t="s">
        <v>221</v>
      </c>
      <c r="FK942" s="187" t="s">
        <v>83</v>
      </c>
      <c r="FL942" s="187" t="s">
        <v>19</v>
      </c>
      <c r="FM942" s="187" t="s">
        <v>648</v>
      </c>
      <c r="FN942" s="187" t="s">
        <v>649</v>
      </c>
      <c r="FO942" s="187" t="s">
        <v>650</v>
      </c>
      <c r="FP942" s="187" t="s">
        <v>962</v>
      </c>
      <c r="FQ942" s="187" t="s">
        <v>470</v>
      </c>
      <c r="FR942" s="187" t="s">
        <v>363</v>
      </c>
      <c r="FS942" s="187" t="s">
        <v>489</v>
      </c>
      <c r="FT942" s="187" t="s">
        <v>676</v>
      </c>
      <c r="FU942" s="187" t="s">
        <v>490</v>
      </c>
      <c r="FV942" s="187" t="s">
        <v>596</v>
      </c>
      <c r="FW942" s="187" t="s">
        <v>417</v>
      </c>
      <c r="FX942" s="187" t="s">
        <v>472</v>
      </c>
      <c r="FY942" s="187" t="s">
        <v>933</v>
      </c>
      <c r="FZ942" s="187" t="s">
        <v>1293</v>
      </c>
      <c r="GA942" s="187" t="s">
        <v>1654</v>
      </c>
      <c r="GB942" s="187" t="s">
        <v>1655</v>
      </c>
      <c r="GC942" s="190" t="s">
        <v>1726</v>
      </c>
      <c r="GD942" s="187" t="s">
        <v>566</v>
      </c>
      <c r="GE942" s="277"/>
      <c r="GG942" s="366"/>
      <c r="GH942" s="294"/>
      <c r="GI942" s="277"/>
      <c r="GQ942" s="314"/>
    </row>
    <row r="943" spans="1:199" x14ac:dyDescent="0.25">
      <c r="A943" s="195" t="s">
        <v>1694</v>
      </c>
      <c r="B943" s="18" t="s">
        <v>2</v>
      </c>
      <c r="C943" s="1">
        <f>C937</f>
        <v>855063</v>
      </c>
      <c r="I943" s="1">
        <f>I937</f>
        <v>0</v>
      </c>
      <c r="M943" s="1">
        <f>M937</f>
        <v>0</v>
      </c>
      <c r="Q943" s="1">
        <f>Q937</f>
        <v>17500</v>
      </c>
      <c r="S943" s="1">
        <f t="shared" ref="S943:BP943" si="38">S937</f>
        <v>0</v>
      </c>
      <c r="T943" s="1">
        <f t="shared" si="38"/>
        <v>0</v>
      </c>
      <c r="U943" s="1">
        <f t="shared" si="38"/>
        <v>0</v>
      </c>
      <c r="V943" s="1">
        <f t="shared" si="38"/>
        <v>0</v>
      </c>
      <c r="W943" s="1">
        <f t="shared" si="38"/>
        <v>0</v>
      </c>
      <c r="Y943" s="1">
        <f t="shared" si="38"/>
        <v>0</v>
      </c>
      <c r="Z943" s="1">
        <f t="shared" si="38"/>
        <v>0</v>
      </c>
      <c r="AA943" s="1">
        <f t="shared" si="38"/>
        <v>0</v>
      </c>
      <c r="AB943" s="1">
        <f t="shared" si="38"/>
        <v>24000</v>
      </c>
      <c r="AC943" s="1">
        <f t="shared" si="38"/>
        <v>20489</v>
      </c>
      <c r="AD943" s="1">
        <f t="shared" si="38"/>
        <v>0</v>
      </c>
      <c r="AE943" s="1">
        <f t="shared" si="38"/>
        <v>0</v>
      </c>
      <c r="AF943" s="1">
        <f t="shared" si="38"/>
        <v>4050</v>
      </c>
      <c r="AG943" s="1">
        <f t="shared" si="38"/>
        <v>1900000</v>
      </c>
      <c r="AH943" s="1">
        <f t="shared" si="38"/>
        <v>1165000</v>
      </c>
      <c r="AI943" s="1">
        <f t="shared" si="38"/>
        <v>18230</v>
      </c>
      <c r="AJ943" s="1">
        <f t="shared" si="38"/>
        <v>2000</v>
      </c>
      <c r="AK943" s="1">
        <f t="shared" si="38"/>
        <v>29000</v>
      </c>
      <c r="AL943" s="1">
        <f t="shared" si="38"/>
        <v>910500</v>
      </c>
      <c r="AM943" s="1">
        <f t="shared" si="38"/>
        <v>40000</v>
      </c>
      <c r="AN943" s="1">
        <f t="shared" si="38"/>
        <v>392000</v>
      </c>
      <c r="AO943" s="1">
        <f t="shared" si="38"/>
        <v>283644</v>
      </c>
      <c r="AP943" s="1">
        <f t="shared" si="38"/>
        <v>220000</v>
      </c>
      <c r="AQ943" s="1">
        <f t="shared" si="38"/>
        <v>2796050</v>
      </c>
      <c r="AR943" s="1">
        <f t="shared" si="38"/>
        <v>59400</v>
      </c>
      <c r="AS943" s="1">
        <f t="shared" si="38"/>
        <v>1478667</v>
      </c>
      <c r="AU943" s="1">
        <f t="shared" si="38"/>
        <v>806000</v>
      </c>
      <c r="AV943" s="1">
        <f t="shared" si="38"/>
        <v>2331000</v>
      </c>
      <c r="AW943" s="1">
        <f t="shared" si="38"/>
        <v>333500</v>
      </c>
      <c r="AX943" s="1">
        <f t="shared" si="38"/>
        <v>220000</v>
      </c>
      <c r="AY943" s="1">
        <f t="shared" si="38"/>
        <v>185000</v>
      </c>
      <c r="AZ943" s="1">
        <f t="shared" si="38"/>
        <v>170000</v>
      </c>
      <c r="BA943" s="1">
        <f t="shared" si="38"/>
        <v>120000</v>
      </c>
      <c r="BB943" s="1">
        <f t="shared" si="38"/>
        <v>53500</v>
      </c>
      <c r="BC943" s="1">
        <f t="shared" si="38"/>
        <v>0</v>
      </c>
      <c r="BD943" s="1">
        <f t="shared" si="38"/>
        <v>1497500</v>
      </c>
      <c r="BE943" s="1">
        <f t="shared" si="38"/>
        <v>22000</v>
      </c>
      <c r="BF943" s="1">
        <f t="shared" si="38"/>
        <v>127592</v>
      </c>
      <c r="BG943" s="1">
        <f t="shared" si="38"/>
        <v>230000</v>
      </c>
      <c r="BH943" s="1">
        <f t="shared" si="38"/>
        <v>41500</v>
      </c>
      <c r="BI943" s="1">
        <f t="shared" si="38"/>
        <v>0</v>
      </c>
      <c r="BJ943" s="1">
        <f t="shared" si="38"/>
        <v>0</v>
      </c>
      <c r="BK943" s="1">
        <f t="shared" si="38"/>
        <v>1400000</v>
      </c>
      <c r="BL943" s="1">
        <f t="shared" si="38"/>
        <v>0</v>
      </c>
      <c r="BM943" s="1">
        <f t="shared" si="38"/>
        <v>0</v>
      </c>
      <c r="BN943" s="1">
        <f t="shared" si="38"/>
        <v>0</v>
      </c>
      <c r="BO943" s="1">
        <f t="shared" si="38"/>
        <v>250000</v>
      </c>
      <c r="BP943" s="1">
        <f t="shared" si="38"/>
        <v>0</v>
      </c>
      <c r="DK943" s="1">
        <f t="shared" ref="DK943:DO943" si="39">DK937</f>
        <v>199790</v>
      </c>
      <c r="DL943" s="1">
        <f t="shared" si="39"/>
        <v>157680</v>
      </c>
      <c r="DM943" s="1">
        <f t="shared" si="39"/>
        <v>53700</v>
      </c>
      <c r="DN943" s="1">
        <f t="shared" si="39"/>
        <v>27500</v>
      </c>
      <c r="DO943" s="1">
        <f t="shared" si="39"/>
        <v>605600</v>
      </c>
      <c r="GD943" s="1">
        <f>GD937</f>
        <v>3197500</v>
      </c>
    </row>
    <row r="944" spans="1:199" s="7" customFormat="1" x14ac:dyDescent="0.25">
      <c r="A944" s="11" t="s">
        <v>1695</v>
      </c>
      <c r="B944" s="111" t="s">
        <v>1696</v>
      </c>
      <c r="C944" s="7">
        <v>-5000</v>
      </c>
      <c r="D944" s="11" t="s">
        <v>1929</v>
      </c>
      <c r="E944" s="11"/>
      <c r="F944" s="11"/>
      <c r="G944" s="11"/>
      <c r="AC944" s="7">
        <v>5000</v>
      </c>
      <c r="DS944" s="14"/>
      <c r="DT944" s="14"/>
      <c r="DU944" s="14"/>
    </row>
    <row r="945" spans="1:168" x14ac:dyDescent="0.25">
      <c r="A945" s="195" t="s">
        <v>1698</v>
      </c>
      <c r="B945" s="18" t="s">
        <v>1697</v>
      </c>
      <c r="C945" s="1">
        <v>-200000</v>
      </c>
      <c r="D945" s="220" t="s">
        <v>1930</v>
      </c>
      <c r="AH945" s="1">
        <v>200000</v>
      </c>
    </row>
    <row r="946" spans="1:168" x14ac:dyDescent="0.25">
      <c r="A946" s="195" t="s">
        <v>1698</v>
      </c>
      <c r="B946" s="18" t="s">
        <v>1699</v>
      </c>
      <c r="C946" s="1">
        <v>-115</v>
      </c>
      <c r="D946" s="220" t="s">
        <v>1931</v>
      </c>
      <c r="EP946" s="1">
        <v>115</v>
      </c>
    </row>
    <row r="947" spans="1:168" s="7" customFormat="1" x14ac:dyDescent="0.25">
      <c r="A947" s="11" t="s">
        <v>1698</v>
      </c>
      <c r="B947" s="41" t="s">
        <v>1700</v>
      </c>
      <c r="C947" s="7">
        <f>-2000-2000</f>
        <v>-4000</v>
      </c>
      <c r="D947" s="220" t="s">
        <v>1932</v>
      </c>
      <c r="E947" s="247"/>
      <c r="F947" s="260"/>
      <c r="G947" s="260"/>
      <c r="CS947" s="7">
        <f>2000+2000</f>
        <v>4000</v>
      </c>
      <c r="DS947" s="14"/>
      <c r="DT947" s="14"/>
      <c r="DU947" s="14"/>
    </row>
    <row r="948" spans="1:168" s="7" customFormat="1" x14ac:dyDescent="0.25">
      <c r="A948" s="11" t="s">
        <v>1702</v>
      </c>
      <c r="B948" s="18" t="s">
        <v>1703</v>
      </c>
      <c r="C948" s="7">
        <v>1200000</v>
      </c>
      <c r="D948" s="11" t="s">
        <v>1933</v>
      </c>
      <c r="E948" s="11"/>
      <c r="F948" s="11"/>
      <c r="G948" s="11"/>
      <c r="H948" s="7">
        <v>1200000</v>
      </c>
      <c r="DS948" s="14"/>
      <c r="DT948" s="14"/>
      <c r="DU948" s="14"/>
    </row>
    <row r="949" spans="1:168" s="7" customFormat="1" x14ac:dyDescent="0.25">
      <c r="A949" s="11" t="s">
        <v>1702</v>
      </c>
      <c r="B949" s="18" t="s">
        <v>670</v>
      </c>
      <c r="C949" s="7">
        <v>-400000</v>
      </c>
      <c r="D949" s="220" t="s">
        <v>1934</v>
      </c>
      <c r="E949" s="247"/>
      <c r="F949" s="260"/>
      <c r="G949" s="260"/>
      <c r="AG949" s="7">
        <v>400000</v>
      </c>
      <c r="DS949" s="14"/>
      <c r="DT949" s="14"/>
      <c r="DU949" s="14"/>
    </row>
    <row r="950" spans="1:168" x14ac:dyDescent="0.25">
      <c r="A950" s="11" t="s">
        <v>1702</v>
      </c>
      <c r="B950" s="116" t="s">
        <v>1707</v>
      </c>
      <c r="C950" s="1">
        <v>-22000</v>
      </c>
      <c r="D950" s="220" t="s">
        <v>1935</v>
      </c>
      <c r="AC950" s="1">
        <v>22000</v>
      </c>
    </row>
    <row r="951" spans="1:168" x14ac:dyDescent="0.25">
      <c r="A951" s="11" t="s">
        <v>1702</v>
      </c>
      <c r="B951" s="18" t="s">
        <v>1704</v>
      </c>
      <c r="C951" s="1">
        <v>-23</v>
      </c>
      <c r="D951" s="220" t="s">
        <v>1936</v>
      </c>
      <c r="EP951" s="1">
        <v>23</v>
      </c>
    </row>
    <row r="952" spans="1:168" x14ac:dyDescent="0.25">
      <c r="A952" s="11" t="s">
        <v>1702</v>
      </c>
      <c r="B952" s="173" t="s">
        <v>1705</v>
      </c>
      <c r="C952" s="1">
        <v>-140000</v>
      </c>
      <c r="D952" s="220" t="s">
        <v>1937</v>
      </c>
      <c r="DI952" s="1">
        <v>140000</v>
      </c>
    </row>
    <row r="953" spans="1:168" x14ac:dyDescent="0.25">
      <c r="A953" s="11" t="s">
        <v>1702</v>
      </c>
      <c r="B953" s="18" t="s">
        <v>1706</v>
      </c>
      <c r="C953" s="1">
        <v>-496000</v>
      </c>
      <c r="D953" s="220" t="s">
        <v>1938</v>
      </c>
      <c r="FI953" s="1">
        <v>496000</v>
      </c>
    </row>
    <row r="954" spans="1:168" x14ac:dyDescent="0.25">
      <c r="A954" s="234" t="s">
        <v>1708</v>
      </c>
      <c r="B954" s="84" t="s">
        <v>1718</v>
      </c>
      <c r="C954" s="1">
        <v>-7022</v>
      </c>
      <c r="D954" s="220" t="s">
        <v>1939</v>
      </c>
      <c r="BH954" s="1">
        <v>-41500</v>
      </c>
    </row>
    <row r="955" spans="1:168" s="7" customFormat="1" x14ac:dyDescent="0.25">
      <c r="A955" s="11"/>
      <c r="B955" s="41" t="s">
        <v>1719</v>
      </c>
      <c r="D955" s="11"/>
      <c r="E955" s="11"/>
      <c r="F955" s="11"/>
      <c r="G955" s="11"/>
      <c r="DS955" s="14"/>
      <c r="DT955" s="14"/>
      <c r="DU955" s="14"/>
      <c r="EK955" s="7">
        <f>100+70+40+70+33+400+50+30+50+300+33+100+100+100+70+33+300+50+20+1050+120+15+20+20+20+50+300+33+70+100+250</f>
        <v>3997</v>
      </c>
    </row>
    <row r="956" spans="1:168" s="7" customFormat="1" x14ac:dyDescent="0.25">
      <c r="A956" s="11"/>
      <c r="B956" s="41" t="s">
        <v>1710</v>
      </c>
      <c r="D956" s="11"/>
      <c r="E956" s="11"/>
      <c r="F956" s="11"/>
      <c r="G956" s="11"/>
      <c r="DS956" s="14"/>
      <c r="DT956" s="14"/>
      <c r="DU956" s="14"/>
      <c r="FE956" s="7">
        <v>10875</v>
      </c>
    </row>
    <row r="957" spans="1:168" s="7" customFormat="1" x14ac:dyDescent="0.25">
      <c r="A957" s="11"/>
      <c r="B957" s="41" t="s">
        <v>1715</v>
      </c>
      <c r="D957" s="11"/>
      <c r="E957" s="11"/>
      <c r="F957" s="11"/>
      <c r="G957" s="11"/>
      <c r="DS957" s="14"/>
      <c r="DT957" s="14"/>
      <c r="DU957" s="14"/>
      <c r="FC957" s="7">
        <f>18700+700+290+100+100+140</f>
        <v>20030</v>
      </c>
    </row>
    <row r="958" spans="1:168" s="7" customFormat="1" x14ac:dyDescent="0.25">
      <c r="A958" s="11"/>
      <c r="B958" s="41" t="s">
        <v>1714</v>
      </c>
      <c r="D958" s="11"/>
      <c r="E958" s="11"/>
      <c r="F958" s="11"/>
      <c r="G958" s="11"/>
      <c r="DS958" s="14"/>
      <c r="DT958" s="14"/>
      <c r="DU958" s="14"/>
      <c r="EU958" s="7">
        <v>1400</v>
      </c>
    </row>
    <row r="959" spans="1:168" s="7" customFormat="1" x14ac:dyDescent="0.25">
      <c r="A959" s="11"/>
      <c r="B959" s="41" t="s">
        <v>1713</v>
      </c>
      <c r="D959" s="11"/>
      <c r="E959" s="11"/>
      <c r="F959" s="11"/>
      <c r="G959" s="11"/>
      <c r="DS959" s="14"/>
      <c r="DT959" s="14"/>
      <c r="DU959" s="14"/>
      <c r="FL959" s="7">
        <f>290+120+180+180+80+110</f>
        <v>960</v>
      </c>
    </row>
    <row r="960" spans="1:168" s="7" customFormat="1" x14ac:dyDescent="0.25">
      <c r="A960" s="11"/>
      <c r="B960" s="41" t="s">
        <v>1709</v>
      </c>
      <c r="D960" s="11"/>
      <c r="E960" s="11"/>
      <c r="F960" s="11"/>
      <c r="G960" s="11"/>
      <c r="DS960" s="14"/>
      <c r="DT960" s="14"/>
      <c r="DU960" s="14"/>
      <c r="EH960" s="7">
        <f>100+300</f>
        <v>400</v>
      </c>
    </row>
    <row r="961" spans="1:185" s="7" customFormat="1" x14ac:dyDescent="0.25">
      <c r="A961" s="11"/>
      <c r="B961" s="41" t="s">
        <v>1712</v>
      </c>
      <c r="D961" s="11"/>
      <c r="E961" s="11"/>
      <c r="F961" s="11"/>
      <c r="G961" s="11"/>
      <c r="DS961" s="14"/>
      <c r="DT961" s="14"/>
      <c r="DU961" s="14"/>
      <c r="ES961" s="7">
        <v>300</v>
      </c>
    </row>
    <row r="962" spans="1:185" x14ac:dyDescent="0.25">
      <c r="A962" s="11"/>
      <c r="B962" s="18" t="s">
        <v>1711</v>
      </c>
      <c r="ER962" s="1">
        <f>8000+500</f>
        <v>8500</v>
      </c>
    </row>
    <row r="963" spans="1:185" x14ac:dyDescent="0.25">
      <c r="A963" s="11"/>
      <c r="B963" s="18" t="s">
        <v>1716</v>
      </c>
      <c r="EP963" s="1">
        <v>60</v>
      </c>
    </row>
    <row r="964" spans="1:185" x14ac:dyDescent="0.25">
      <c r="A964" s="11"/>
      <c r="B964" s="18" t="s">
        <v>1717</v>
      </c>
      <c r="AC964" s="1">
        <v>2000</v>
      </c>
    </row>
    <row r="965" spans="1:185" x14ac:dyDescent="0.25">
      <c r="A965" s="11" t="s">
        <v>1708</v>
      </c>
      <c r="B965" s="116" t="s">
        <v>1721</v>
      </c>
      <c r="C965" s="1">
        <v>-2000</v>
      </c>
      <c r="D965" s="220" t="s">
        <v>1940</v>
      </c>
      <c r="AB965" s="1">
        <v>2000</v>
      </c>
    </row>
    <row r="966" spans="1:185" x14ac:dyDescent="0.25">
      <c r="A966" s="11" t="s">
        <v>1708</v>
      </c>
      <c r="B966" s="116" t="s">
        <v>1720</v>
      </c>
      <c r="C966" s="7">
        <v>-40</v>
      </c>
      <c r="D966" s="220" t="s">
        <v>1941</v>
      </c>
      <c r="CO966" s="1">
        <v>40</v>
      </c>
    </row>
    <row r="967" spans="1:185" x14ac:dyDescent="0.25">
      <c r="A967" s="11" t="s">
        <v>1722</v>
      </c>
      <c r="B967" s="116" t="s">
        <v>1723</v>
      </c>
      <c r="C967" s="7">
        <v>-43000</v>
      </c>
      <c r="D967" s="220" t="s">
        <v>1942</v>
      </c>
      <c r="AC967" s="1">
        <v>43000</v>
      </c>
    </row>
    <row r="968" spans="1:185" x14ac:dyDescent="0.25">
      <c r="A968" s="11" t="s">
        <v>1722</v>
      </c>
      <c r="B968" s="116" t="s">
        <v>1724</v>
      </c>
      <c r="C968" s="7">
        <v>-12000</v>
      </c>
      <c r="D968" s="220" t="s">
        <v>1943</v>
      </c>
      <c r="BH968" s="1">
        <v>12000</v>
      </c>
    </row>
    <row r="969" spans="1:185" x14ac:dyDescent="0.25">
      <c r="A969" s="11" t="s">
        <v>1727</v>
      </c>
      <c r="B969" s="116" t="s">
        <v>1725</v>
      </c>
      <c r="C969" s="7">
        <f>12980+9150+6800+45020</f>
        <v>73950</v>
      </c>
      <c r="D969" s="11" t="s">
        <v>1944</v>
      </c>
      <c r="E969" s="11"/>
      <c r="F969" s="11"/>
      <c r="G969" s="11"/>
      <c r="GC969" s="1">
        <v>73950</v>
      </c>
    </row>
    <row r="970" spans="1:185" x14ac:dyDescent="0.25">
      <c r="A970" s="11" t="s">
        <v>1727</v>
      </c>
      <c r="B970" s="116" t="s">
        <v>1728</v>
      </c>
      <c r="C970" s="7">
        <v>-73950</v>
      </c>
      <c r="D970" s="220" t="s">
        <v>1945</v>
      </c>
      <c r="AC970" s="1">
        <v>73950</v>
      </c>
    </row>
    <row r="971" spans="1:185" s="7" customFormat="1" x14ac:dyDescent="0.25">
      <c r="A971" s="11" t="s">
        <v>1729</v>
      </c>
      <c r="B971" s="111" t="s">
        <v>1744</v>
      </c>
      <c r="C971" s="7">
        <v>2000</v>
      </c>
      <c r="D971" s="11" t="s">
        <v>1946</v>
      </c>
      <c r="E971" s="11"/>
      <c r="F971" s="11"/>
      <c r="G971" s="11"/>
      <c r="DS971" s="14"/>
      <c r="DT971" s="14"/>
      <c r="DU971" s="14"/>
      <c r="GC971" s="7">
        <v>2000</v>
      </c>
    </row>
    <row r="972" spans="1:185" x14ac:dyDescent="0.25">
      <c r="A972" s="11" t="s">
        <v>1729</v>
      </c>
      <c r="B972" s="116" t="s">
        <v>1730</v>
      </c>
      <c r="C972" s="7">
        <v>-2000</v>
      </c>
      <c r="D972" s="220" t="s">
        <v>1947</v>
      </c>
      <c r="AF972" s="1">
        <v>2000</v>
      </c>
    </row>
    <row r="973" spans="1:185" x14ac:dyDescent="0.25">
      <c r="A973" s="11" t="s">
        <v>1729</v>
      </c>
      <c r="B973" s="84" t="s">
        <v>1743</v>
      </c>
      <c r="C973" s="7"/>
      <c r="AF973" s="1">
        <v>-4838</v>
      </c>
    </row>
    <row r="974" spans="1:185" x14ac:dyDescent="0.25">
      <c r="A974" s="11" t="s">
        <v>1729</v>
      </c>
      <c r="B974" s="116" t="s">
        <v>1739</v>
      </c>
      <c r="C974" s="7"/>
      <c r="EK974" s="1">
        <f>470+500+590+80+645+413</f>
        <v>2698</v>
      </c>
    </row>
    <row r="975" spans="1:185" x14ac:dyDescent="0.25">
      <c r="A975" s="11" t="s">
        <v>1729</v>
      </c>
      <c r="B975" s="116" t="s">
        <v>1740</v>
      </c>
      <c r="C975" s="7"/>
      <c r="FE975" s="1">
        <f>120+105+230+120</f>
        <v>575</v>
      </c>
    </row>
    <row r="976" spans="1:185" x14ac:dyDescent="0.25">
      <c r="A976" s="11" t="s">
        <v>1729</v>
      </c>
      <c r="B976" s="116" t="s">
        <v>1731</v>
      </c>
      <c r="C976" s="7">
        <v>1565</v>
      </c>
      <c r="D976" s="220" t="s">
        <v>1948</v>
      </c>
    </row>
    <row r="977" spans="1:182" x14ac:dyDescent="0.25">
      <c r="A977" s="11" t="s">
        <v>1729</v>
      </c>
      <c r="B977" s="84" t="s">
        <v>1742</v>
      </c>
      <c r="C977" s="7"/>
      <c r="BH977" s="1">
        <v>-12000</v>
      </c>
    </row>
    <row r="978" spans="1:182" s="7" customFormat="1" x14ac:dyDescent="0.25">
      <c r="A978" s="11" t="s">
        <v>1729</v>
      </c>
      <c r="B978" s="41" t="s">
        <v>1741</v>
      </c>
      <c r="D978" s="11"/>
      <c r="E978" s="11"/>
      <c r="F978" s="11"/>
      <c r="G978" s="11"/>
      <c r="DS978" s="14"/>
      <c r="DT978" s="14"/>
      <c r="DU978" s="14"/>
      <c r="ES978" s="7">
        <f>5200+300</f>
        <v>5500</v>
      </c>
    </row>
    <row r="979" spans="1:182" s="7" customFormat="1" x14ac:dyDescent="0.25">
      <c r="A979" s="11" t="s">
        <v>1729</v>
      </c>
      <c r="B979" s="116" t="s">
        <v>1731</v>
      </c>
      <c r="C979" s="7">
        <v>6500</v>
      </c>
      <c r="D979" s="11" t="s">
        <v>1949</v>
      </c>
      <c r="E979" s="11"/>
      <c r="F979" s="11"/>
      <c r="G979" s="11"/>
      <c r="DS979" s="14"/>
      <c r="DT979" s="14"/>
      <c r="DU979" s="14"/>
    </row>
    <row r="980" spans="1:182" x14ac:dyDescent="0.25">
      <c r="A980" s="11" t="s">
        <v>1729</v>
      </c>
      <c r="B980" s="18" t="s">
        <v>1733</v>
      </c>
      <c r="C980" s="7">
        <v>700000</v>
      </c>
      <c r="D980" s="11" t="s">
        <v>1950</v>
      </c>
      <c r="E980" s="11"/>
      <c r="F980" s="11"/>
      <c r="G980" s="11"/>
      <c r="H980" s="1">
        <v>700000</v>
      </c>
    </row>
    <row r="981" spans="1:182" x14ac:dyDescent="0.25">
      <c r="A981" s="11" t="s">
        <v>1729</v>
      </c>
      <c r="B981" s="1" t="s">
        <v>1734</v>
      </c>
      <c r="C981" s="7">
        <v>-400000</v>
      </c>
      <c r="D981" s="220" t="s">
        <v>1951</v>
      </c>
      <c r="AT981" s="1">
        <v>400000</v>
      </c>
    </row>
    <row r="982" spans="1:182" x14ac:dyDescent="0.25">
      <c r="A982" s="11" t="s">
        <v>1729</v>
      </c>
      <c r="B982" s="116" t="s">
        <v>1735</v>
      </c>
      <c r="C982" s="7">
        <f>-20-40</f>
        <v>-60</v>
      </c>
      <c r="D982" s="220" t="s">
        <v>1952</v>
      </c>
      <c r="EK982" s="1">
        <v>60</v>
      </c>
    </row>
    <row r="983" spans="1:182" x14ac:dyDescent="0.25">
      <c r="A983" s="11" t="s">
        <v>1729</v>
      </c>
      <c r="B983" s="116" t="s">
        <v>1736</v>
      </c>
      <c r="C983" s="7">
        <v>-32000</v>
      </c>
      <c r="D983" s="220" t="s">
        <v>1953</v>
      </c>
      <c r="DA983" s="1">
        <v>32000</v>
      </c>
    </row>
    <row r="984" spans="1:182" s="139" customFormat="1" ht="30" x14ac:dyDescent="0.25">
      <c r="A984" s="112" t="s">
        <v>1729</v>
      </c>
      <c r="B984" s="116" t="s">
        <v>1748</v>
      </c>
      <c r="C984" s="110">
        <v>-30000</v>
      </c>
      <c r="D984" s="160" t="s">
        <v>1954</v>
      </c>
      <c r="E984" s="160"/>
      <c r="F984" s="160"/>
      <c r="G984" s="160"/>
      <c r="AC984" s="139">
        <v>30000</v>
      </c>
      <c r="DS984" s="161"/>
      <c r="DT984" s="161"/>
      <c r="DU984" s="161"/>
    </row>
    <row r="985" spans="1:182" x14ac:dyDescent="0.25">
      <c r="A985" s="11" t="s">
        <v>1729</v>
      </c>
      <c r="B985" s="32" t="s">
        <v>1737</v>
      </c>
      <c r="C985" s="7">
        <v>-300000</v>
      </c>
      <c r="D985" s="160" t="s">
        <v>1955</v>
      </c>
      <c r="E985" s="160"/>
      <c r="F985" s="160"/>
      <c r="G985" s="160"/>
      <c r="BD985" s="1">
        <v>300000</v>
      </c>
    </row>
    <row r="986" spans="1:182" x14ac:dyDescent="0.25">
      <c r="A986" s="11" t="s">
        <v>1729</v>
      </c>
      <c r="B986" s="116" t="s">
        <v>1738</v>
      </c>
      <c r="C986" s="7">
        <v>-255</v>
      </c>
      <c r="D986" s="160" t="s">
        <v>1956</v>
      </c>
      <c r="E986" s="160"/>
      <c r="F986" s="160"/>
      <c r="G986" s="160"/>
      <c r="FZ986" s="1">
        <v>255</v>
      </c>
    </row>
    <row r="987" spans="1:182" x14ac:dyDescent="0.25">
      <c r="A987" s="11" t="s">
        <v>1751</v>
      </c>
      <c r="B987" s="116" t="s">
        <v>1752</v>
      </c>
      <c r="C987" s="7">
        <v>-3600</v>
      </c>
      <c r="D987" s="160" t="s">
        <v>1957</v>
      </c>
      <c r="E987" s="160"/>
      <c r="F987" s="160"/>
      <c r="G987" s="160"/>
      <c r="FC987" s="1">
        <v>3600</v>
      </c>
    </row>
    <row r="988" spans="1:182" x14ac:dyDescent="0.25">
      <c r="A988" s="11" t="s">
        <v>1751</v>
      </c>
      <c r="B988" s="116" t="s">
        <v>1753</v>
      </c>
      <c r="C988" s="7">
        <v>-300</v>
      </c>
      <c r="D988" s="160" t="s">
        <v>1958</v>
      </c>
      <c r="E988" s="160"/>
      <c r="F988" s="160"/>
      <c r="G988" s="160"/>
      <c r="ES988" s="1">
        <v>300</v>
      </c>
    </row>
    <row r="989" spans="1:182" x14ac:dyDescent="0.25">
      <c r="A989" s="11" t="s">
        <v>1745</v>
      </c>
      <c r="B989" s="18" t="s">
        <v>1746</v>
      </c>
      <c r="C989" s="7">
        <v>600000</v>
      </c>
      <c r="D989" s="220" t="s">
        <v>1959</v>
      </c>
      <c r="H989" s="1">
        <v>600000</v>
      </c>
    </row>
    <row r="990" spans="1:182" x14ac:dyDescent="0.25">
      <c r="A990" s="11" t="s">
        <v>1745</v>
      </c>
      <c r="B990" s="116" t="s">
        <v>1749</v>
      </c>
      <c r="C990" s="7">
        <v>-30000</v>
      </c>
      <c r="D990" s="160" t="s">
        <v>1960</v>
      </c>
      <c r="E990" s="160"/>
      <c r="F990" s="160"/>
      <c r="G990" s="160"/>
      <c r="AC990" s="1">
        <v>30000</v>
      </c>
    </row>
    <row r="991" spans="1:182" x14ac:dyDescent="0.25">
      <c r="A991" s="11" t="s">
        <v>1745</v>
      </c>
      <c r="B991" s="116" t="s">
        <v>1750</v>
      </c>
      <c r="C991" s="7">
        <v>-3000</v>
      </c>
      <c r="D991" s="160" t="s">
        <v>1961</v>
      </c>
      <c r="E991" s="160"/>
      <c r="F991" s="160"/>
      <c r="G991" s="160"/>
      <c r="V991" s="1">
        <v>3000</v>
      </c>
    </row>
    <row r="992" spans="1:182" x14ac:dyDescent="0.25">
      <c r="A992" s="11" t="s">
        <v>1754</v>
      </c>
      <c r="B992" s="18" t="s">
        <v>670</v>
      </c>
      <c r="C992" s="7">
        <v>-100000</v>
      </c>
      <c r="D992" s="160" t="s">
        <v>1962</v>
      </c>
      <c r="E992" s="160"/>
      <c r="F992" s="160"/>
      <c r="G992" s="160"/>
      <c r="AG992" s="1">
        <v>100000</v>
      </c>
    </row>
    <row r="993" spans="1:185" x14ac:dyDescent="0.25">
      <c r="A993" s="11" t="s">
        <v>1756</v>
      </c>
      <c r="B993" s="116" t="s">
        <v>1755</v>
      </c>
      <c r="C993" s="7">
        <v>37160</v>
      </c>
      <c r="D993" s="220" t="s">
        <v>1963</v>
      </c>
      <c r="GC993" s="1">
        <v>37160</v>
      </c>
    </row>
    <row r="994" spans="1:185" x14ac:dyDescent="0.25">
      <c r="A994" s="11" t="s">
        <v>1756</v>
      </c>
      <c r="B994" s="116" t="s">
        <v>1728</v>
      </c>
      <c r="C994" s="7">
        <v>-37160</v>
      </c>
      <c r="D994" s="160" t="s">
        <v>1964</v>
      </c>
      <c r="E994" s="160"/>
      <c r="F994" s="160"/>
      <c r="G994" s="160"/>
      <c r="AC994" s="1">
        <v>37160</v>
      </c>
    </row>
    <row r="995" spans="1:185" x14ac:dyDescent="0.25">
      <c r="A995" s="11" t="s">
        <v>1756</v>
      </c>
      <c r="B995" s="18" t="s">
        <v>1145</v>
      </c>
      <c r="C995" s="7">
        <v>-21600</v>
      </c>
      <c r="D995" s="160" t="s">
        <v>1965</v>
      </c>
      <c r="E995" s="160"/>
      <c r="F995" s="160"/>
      <c r="G995" s="160"/>
      <c r="AN995" s="1">
        <v>21600</v>
      </c>
    </row>
    <row r="996" spans="1:185" x14ac:dyDescent="0.25">
      <c r="A996" s="241" t="s">
        <v>1756</v>
      </c>
      <c r="B996" s="84" t="s">
        <v>2192</v>
      </c>
      <c r="C996" s="7"/>
      <c r="D996" s="160"/>
      <c r="E996" s="160"/>
      <c r="F996" s="160"/>
      <c r="G996" s="160"/>
      <c r="AN996" s="1">
        <v>-413600</v>
      </c>
    </row>
    <row r="997" spans="1:185" x14ac:dyDescent="0.25">
      <c r="A997" s="11" t="s">
        <v>1756</v>
      </c>
      <c r="B997" s="41" t="s">
        <v>2193</v>
      </c>
      <c r="C997" s="7"/>
      <c r="D997" s="160"/>
      <c r="E997" s="160"/>
      <c r="F997" s="160"/>
      <c r="G997" s="160"/>
      <c r="DK997" s="1">
        <v>413600</v>
      </c>
    </row>
    <row r="998" spans="1:185" s="58" customFormat="1" x14ac:dyDescent="0.25">
      <c r="A998" s="200" t="s">
        <v>1756</v>
      </c>
      <c r="B998" s="84" t="s">
        <v>1782</v>
      </c>
      <c r="D998" s="221"/>
      <c r="E998" s="249"/>
      <c r="F998" s="262"/>
      <c r="G998" s="262"/>
      <c r="AC998" s="58">
        <v>-20000</v>
      </c>
      <c r="DS998" s="56"/>
      <c r="DT998" s="56"/>
      <c r="DU998" s="56"/>
    </row>
    <row r="999" spans="1:185" s="7" customFormat="1" x14ac:dyDescent="0.25">
      <c r="A999" s="11"/>
      <c r="B999" s="41" t="s">
        <v>1783</v>
      </c>
      <c r="D999" s="11"/>
      <c r="E999" s="11"/>
      <c r="F999" s="11"/>
      <c r="G999" s="11"/>
      <c r="AB999" s="7">
        <v>20000</v>
      </c>
      <c r="DS999" s="14"/>
      <c r="DT999" s="14"/>
      <c r="DU999" s="14"/>
    </row>
    <row r="1000" spans="1:185" x14ac:dyDescent="0.25">
      <c r="A1000" s="11" t="s">
        <v>1757</v>
      </c>
      <c r="B1000" s="1" t="s">
        <v>1760</v>
      </c>
      <c r="C1000" s="7">
        <f>-25000-15000-5000-15000-3417-17097-17355</f>
        <v>-97869</v>
      </c>
      <c r="D1000" s="160" t="s">
        <v>1966</v>
      </c>
      <c r="E1000" s="160"/>
      <c r="F1000" s="160"/>
      <c r="G1000" s="160"/>
      <c r="DC1000" s="1">
        <v>97869</v>
      </c>
    </row>
    <row r="1001" spans="1:185" x14ac:dyDescent="0.25">
      <c r="A1001" s="11" t="s">
        <v>1757</v>
      </c>
      <c r="B1001" s="18" t="s">
        <v>1759</v>
      </c>
      <c r="C1001" s="7">
        <v>-23</v>
      </c>
      <c r="D1001" s="160" t="s">
        <v>1967</v>
      </c>
      <c r="E1001" s="160"/>
      <c r="F1001" s="160"/>
      <c r="G1001" s="160"/>
      <c r="DF1001" s="1">
        <v>23</v>
      </c>
    </row>
    <row r="1002" spans="1:185" x14ac:dyDescent="0.25">
      <c r="A1002" s="11" t="s">
        <v>1757</v>
      </c>
      <c r="B1002" s="18" t="s">
        <v>1761</v>
      </c>
      <c r="C1002" s="7">
        <v>-3000</v>
      </c>
      <c r="D1002" s="160" t="s">
        <v>1968</v>
      </c>
      <c r="E1002" s="160"/>
      <c r="F1002" s="160"/>
      <c r="G1002" s="160"/>
      <c r="BH1002" s="1">
        <v>3000</v>
      </c>
    </row>
    <row r="1003" spans="1:185" x14ac:dyDescent="0.25">
      <c r="A1003" s="11" t="s">
        <v>1762</v>
      </c>
      <c r="B1003" s="1" t="s">
        <v>1772</v>
      </c>
      <c r="C1003" s="7">
        <v>-22580</v>
      </c>
      <c r="D1003" s="160" t="s">
        <v>1969</v>
      </c>
      <c r="E1003" s="160"/>
      <c r="F1003" s="160"/>
      <c r="G1003" s="160"/>
      <c r="DC1003" s="1">
        <v>22580</v>
      </c>
    </row>
    <row r="1004" spans="1:185" x14ac:dyDescent="0.25">
      <c r="A1004" s="11" t="s">
        <v>1762</v>
      </c>
      <c r="B1004" s="18" t="s">
        <v>1763</v>
      </c>
      <c r="C1004" s="7">
        <v>2000000</v>
      </c>
      <c r="D1004" s="220" t="s">
        <v>1970</v>
      </c>
      <c r="H1004" s="1">
        <v>2000000</v>
      </c>
    </row>
    <row r="1005" spans="1:185" x14ac:dyDescent="0.25">
      <c r="A1005" s="11"/>
      <c r="B1005" s="18" t="s">
        <v>2103</v>
      </c>
      <c r="C1005" s="7"/>
      <c r="D1005" s="228"/>
    </row>
    <row r="1006" spans="1:185" x14ac:dyDescent="0.25">
      <c r="A1006" s="11"/>
      <c r="B1006" s="18" t="s">
        <v>954</v>
      </c>
      <c r="C1006" s="7"/>
      <c r="D1006" s="228"/>
      <c r="V1006" s="1">
        <v>-5000</v>
      </c>
      <c r="DC1006" s="1">
        <v>5000</v>
      </c>
    </row>
    <row r="1007" spans="1:185" x14ac:dyDescent="0.25">
      <c r="A1007" s="11" t="s">
        <v>1762</v>
      </c>
      <c r="B1007" s="1" t="s">
        <v>1766</v>
      </c>
      <c r="C1007" s="7">
        <v>-2000000</v>
      </c>
      <c r="D1007" s="160" t="s">
        <v>1971</v>
      </c>
      <c r="E1007" s="160"/>
      <c r="F1007" s="160"/>
      <c r="G1007" s="160"/>
      <c r="AT1007" s="1">
        <v>2000000</v>
      </c>
    </row>
    <row r="1008" spans="1:185" x14ac:dyDescent="0.25">
      <c r="A1008" s="195" t="s">
        <v>1767</v>
      </c>
      <c r="B1008" s="18" t="s">
        <v>1778</v>
      </c>
      <c r="C1008" s="7">
        <v>700000</v>
      </c>
      <c r="D1008" s="220" t="s">
        <v>1972</v>
      </c>
      <c r="H1008" s="1">
        <v>700000</v>
      </c>
    </row>
    <row r="1009" spans="1:182" x14ac:dyDescent="0.25">
      <c r="A1009" s="195" t="s">
        <v>1767</v>
      </c>
      <c r="B1009" s="1" t="s">
        <v>1768</v>
      </c>
      <c r="C1009" s="7">
        <v>-13048</v>
      </c>
      <c r="D1009" s="160" t="s">
        <v>1973</v>
      </c>
      <c r="E1009" s="160"/>
      <c r="F1009" s="160"/>
      <c r="G1009" s="160"/>
      <c r="DC1009" s="1">
        <v>13048</v>
      </c>
    </row>
    <row r="1010" spans="1:182" x14ac:dyDescent="0.25">
      <c r="A1010" s="195" t="s">
        <v>1767</v>
      </c>
      <c r="B1010" s="1" t="s">
        <v>1769</v>
      </c>
      <c r="C1010" s="7">
        <v>-30</v>
      </c>
      <c r="D1010" s="160" t="s">
        <v>1974</v>
      </c>
      <c r="E1010" s="160"/>
      <c r="F1010" s="160"/>
      <c r="G1010" s="160"/>
      <c r="FZ1010" s="1">
        <v>30</v>
      </c>
    </row>
    <row r="1011" spans="1:182" x14ac:dyDescent="0.25">
      <c r="A1011" s="195" t="s">
        <v>1767</v>
      </c>
      <c r="B1011" s="1" t="s">
        <v>1770</v>
      </c>
      <c r="C1011" s="7">
        <v>-10</v>
      </c>
      <c r="D1011" s="160" t="s">
        <v>1975</v>
      </c>
      <c r="E1011" s="160"/>
      <c r="F1011" s="160"/>
      <c r="G1011" s="160"/>
      <c r="EK1011" s="1">
        <v>10</v>
      </c>
    </row>
    <row r="1012" spans="1:182" x14ac:dyDescent="0.25">
      <c r="A1012" s="195" t="s">
        <v>1767</v>
      </c>
      <c r="B1012" s="116" t="s">
        <v>1995</v>
      </c>
      <c r="C1012" s="7">
        <v>-35000</v>
      </c>
      <c r="D1012" s="160" t="s">
        <v>1976</v>
      </c>
      <c r="E1012" s="160"/>
      <c r="F1012" s="160"/>
      <c r="G1012" s="160"/>
      <c r="DW1012" s="1">
        <v>35000</v>
      </c>
    </row>
    <row r="1013" spans="1:182" x14ac:dyDescent="0.25">
      <c r="A1013" s="195" t="s">
        <v>1767</v>
      </c>
      <c r="B1013" s="1" t="s">
        <v>1773</v>
      </c>
      <c r="C1013" s="7">
        <v>-40</v>
      </c>
      <c r="D1013" s="160" t="s">
        <v>1977</v>
      </c>
      <c r="E1013" s="160"/>
      <c r="F1013" s="160"/>
      <c r="G1013" s="160"/>
    </row>
    <row r="1014" spans="1:182" x14ac:dyDescent="0.25">
      <c r="A1014" s="195" t="s">
        <v>1767</v>
      </c>
      <c r="B1014" s="1" t="s">
        <v>1771</v>
      </c>
      <c r="C1014" s="7">
        <v>-1000</v>
      </c>
      <c r="D1014" s="160" t="s">
        <v>1978</v>
      </c>
      <c r="E1014" s="160"/>
      <c r="F1014" s="160"/>
      <c r="G1014" s="160"/>
      <c r="CX1014" s="1">
        <v>1000</v>
      </c>
    </row>
    <row r="1015" spans="1:182" x14ac:dyDescent="0.25">
      <c r="A1015" s="195" t="s">
        <v>1774</v>
      </c>
      <c r="B1015" s="18" t="s">
        <v>1775</v>
      </c>
      <c r="C1015" s="1">
        <v>-300000</v>
      </c>
      <c r="D1015" s="160" t="s">
        <v>1979</v>
      </c>
      <c r="E1015" s="160"/>
      <c r="F1015" s="160"/>
      <c r="G1015" s="160"/>
      <c r="DD1015" s="1">
        <v>300000</v>
      </c>
    </row>
    <row r="1016" spans="1:182" x14ac:dyDescent="0.25">
      <c r="A1016" s="197" t="s">
        <v>1774</v>
      </c>
      <c r="B1016" s="18" t="s">
        <v>1697</v>
      </c>
      <c r="C1016" s="7">
        <v>-100000</v>
      </c>
      <c r="D1016" s="160" t="s">
        <v>1980</v>
      </c>
      <c r="E1016" s="160"/>
      <c r="F1016" s="160"/>
      <c r="G1016" s="160"/>
      <c r="AH1016" s="1">
        <v>100000</v>
      </c>
    </row>
    <row r="1017" spans="1:182" x14ac:dyDescent="0.25">
      <c r="A1017" s="197" t="s">
        <v>1774</v>
      </c>
      <c r="B1017" s="18" t="s">
        <v>1583</v>
      </c>
      <c r="C1017" s="7">
        <v>-58</v>
      </c>
      <c r="D1017" s="160" t="s">
        <v>1981</v>
      </c>
      <c r="E1017" s="160"/>
      <c r="F1017" s="160"/>
      <c r="G1017" s="160"/>
      <c r="EP1017" s="1">
        <v>58</v>
      </c>
    </row>
    <row r="1018" spans="1:182" x14ac:dyDescent="0.25">
      <c r="A1018" s="197" t="s">
        <v>1774</v>
      </c>
      <c r="B1018" s="18" t="s">
        <v>1777</v>
      </c>
      <c r="C1018" s="7">
        <v>-2000</v>
      </c>
      <c r="D1018" s="160" t="s">
        <v>1982</v>
      </c>
      <c r="E1018" s="160"/>
      <c r="F1018" s="160"/>
      <c r="G1018" s="160"/>
      <c r="CS1018" s="1">
        <v>2000</v>
      </c>
    </row>
    <row r="1019" spans="1:182" s="7" customFormat="1" x14ac:dyDescent="0.25">
      <c r="A1019" s="11" t="s">
        <v>1792</v>
      </c>
      <c r="B1019" s="84" t="s">
        <v>1784</v>
      </c>
      <c r="D1019" s="11"/>
      <c r="E1019" s="11"/>
      <c r="F1019" s="11"/>
      <c r="G1019" s="11"/>
      <c r="AB1019" s="7">
        <v>-45928</v>
      </c>
      <c r="DS1019" s="14"/>
      <c r="DT1019" s="14"/>
      <c r="DU1019" s="14"/>
    </row>
    <row r="1020" spans="1:182" s="7" customFormat="1" x14ac:dyDescent="0.25">
      <c r="A1020" s="11"/>
      <c r="B1020" s="41" t="s">
        <v>1790</v>
      </c>
      <c r="D1020" s="11"/>
      <c r="E1020" s="11"/>
      <c r="F1020" s="11"/>
      <c r="G1020" s="11"/>
      <c r="DS1020" s="14"/>
      <c r="DT1020" s="14"/>
      <c r="DU1020" s="14"/>
      <c r="EK1020" s="7">
        <v>1383</v>
      </c>
    </row>
    <row r="1021" spans="1:182" s="7" customFormat="1" x14ac:dyDescent="0.25">
      <c r="A1021" s="11"/>
      <c r="B1021" s="41" t="s">
        <v>1785</v>
      </c>
      <c r="D1021" s="11"/>
      <c r="E1021" s="11"/>
      <c r="F1021" s="11"/>
      <c r="G1021" s="11"/>
      <c r="DS1021" s="14"/>
      <c r="DT1021" s="14"/>
      <c r="DU1021" s="14"/>
      <c r="FE1021" s="7">
        <v>160</v>
      </c>
    </row>
    <row r="1022" spans="1:182" s="7" customFormat="1" x14ac:dyDescent="0.25">
      <c r="A1022" s="11"/>
      <c r="B1022" s="41" t="s">
        <v>1786</v>
      </c>
      <c r="D1022" s="11"/>
      <c r="E1022" s="11"/>
      <c r="F1022" s="11"/>
      <c r="G1022" s="11"/>
      <c r="DS1022" s="14"/>
      <c r="DT1022" s="14"/>
      <c r="DU1022" s="14"/>
      <c r="EQ1022" s="7">
        <v>1385</v>
      </c>
    </row>
    <row r="1023" spans="1:182" s="7" customFormat="1" x14ac:dyDescent="0.25">
      <c r="A1023" s="11"/>
      <c r="B1023" s="41" t="s">
        <v>1787</v>
      </c>
      <c r="D1023" s="11"/>
      <c r="E1023" s="11"/>
      <c r="F1023" s="11"/>
      <c r="G1023" s="11"/>
      <c r="DS1023" s="14"/>
      <c r="DT1023" s="14"/>
      <c r="DU1023" s="14"/>
      <c r="ES1023" s="7">
        <v>1000</v>
      </c>
    </row>
    <row r="1024" spans="1:182" s="7" customFormat="1" x14ac:dyDescent="0.25">
      <c r="A1024" s="11"/>
      <c r="B1024" s="41" t="s">
        <v>1789</v>
      </c>
      <c r="D1024" s="11"/>
      <c r="E1024" s="11"/>
      <c r="F1024" s="11"/>
      <c r="G1024" s="11"/>
      <c r="DS1024" s="14"/>
      <c r="DT1024" s="14"/>
      <c r="DU1024" s="14"/>
      <c r="FC1024" s="7">
        <v>24000</v>
      </c>
    </row>
    <row r="1025" spans="1:199" s="7" customFormat="1" x14ac:dyDescent="0.25">
      <c r="A1025" s="11"/>
      <c r="B1025" s="41" t="s">
        <v>1788</v>
      </c>
      <c r="C1025" s="7">
        <v>18000</v>
      </c>
      <c r="D1025" s="220" t="s">
        <v>1998</v>
      </c>
      <c r="E1025" s="247"/>
      <c r="F1025" s="260"/>
      <c r="G1025" s="260"/>
      <c r="DS1025" s="14"/>
      <c r="DT1025" s="14"/>
      <c r="DU1025" s="14"/>
    </row>
    <row r="1026" spans="1:199" x14ac:dyDescent="0.25">
      <c r="A1026" s="201" t="s">
        <v>1792</v>
      </c>
      <c r="B1026" s="18" t="s">
        <v>1793</v>
      </c>
      <c r="C1026" s="7">
        <v>500000</v>
      </c>
      <c r="D1026" s="220" t="s">
        <v>1999</v>
      </c>
      <c r="H1026" s="1">
        <v>500000</v>
      </c>
    </row>
    <row r="1027" spans="1:199" x14ac:dyDescent="0.25">
      <c r="A1027" s="208" t="s">
        <v>1792</v>
      </c>
      <c r="B1027" s="18" t="s">
        <v>1794</v>
      </c>
      <c r="C1027" s="7">
        <v>-20</v>
      </c>
      <c r="D1027" s="160" t="s">
        <v>2000</v>
      </c>
      <c r="E1027" s="160"/>
      <c r="F1027" s="160"/>
      <c r="G1027" s="160"/>
      <c r="CO1027" s="1">
        <v>20</v>
      </c>
    </row>
    <row r="1028" spans="1:199" x14ac:dyDescent="0.25">
      <c r="A1028" s="201"/>
      <c r="C1028" s="7"/>
    </row>
    <row r="1029" spans="1:199" x14ac:dyDescent="0.25">
      <c r="A1029" s="201"/>
      <c r="C1029" s="7"/>
    </row>
    <row r="1031" spans="1:199" s="3" customFormat="1" x14ac:dyDescent="0.25">
      <c r="A1031" s="2"/>
      <c r="B1031" s="85" t="s">
        <v>1795</v>
      </c>
      <c r="C1031" s="3">
        <f>SUM(C943:C1030)</f>
        <v>1754435</v>
      </c>
      <c r="D1031" s="3">
        <f t="shared" ref="D1031:BS1031" si="40">SUM(D943:D1030)</f>
        <v>0</v>
      </c>
      <c r="H1031" s="3">
        <f t="shared" si="40"/>
        <v>5700000</v>
      </c>
      <c r="I1031" s="3">
        <f t="shared" si="40"/>
        <v>0</v>
      </c>
      <c r="J1031" s="3">
        <f t="shared" si="40"/>
        <v>0</v>
      </c>
      <c r="K1031" s="3">
        <f t="shared" si="40"/>
        <v>0</v>
      </c>
      <c r="L1031" s="3">
        <f t="shared" si="40"/>
        <v>0</v>
      </c>
      <c r="M1031" s="3">
        <f t="shared" si="40"/>
        <v>0</v>
      </c>
      <c r="N1031" s="3">
        <f t="shared" si="40"/>
        <v>0</v>
      </c>
      <c r="O1031" s="3">
        <f t="shared" si="40"/>
        <v>0</v>
      </c>
      <c r="P1031" s="3">
        <f t="shared" si="40"/>
        <v>0</v>
      </c>
      <c r="Q1031" s="3">
        <f t="shared" si="40"/>
        <v>17500</v>
      </c>
      <c r="R1031" s="3">
        <f t="shared" si="40"/>
        <v>0</v>
      </c>
      <c r="S1031" s="3">
        <f t="shared" si="40"/>
        <v>0</v>
      </c>
      <c r="T1031" s="3">
        <f t="shared" si="40"/>
        <v>0</v>
      </c>
      <c r="U1031" s="3">
        <f t="shared" si="40"/>
        <v>0</v>
      </c>
      <c r="V1031" s="3">
        <f t="shared" si="40"/>
        <v>-2000</v>
      </c>
      <c r="W1031" s="3">
        <f t="shared" si="40"/>
        <v>0</v>
      </c>
      <c r="Y1031" s="3">
        <f t="shared" si="40"/>
        <v>0</v>
      </c>
      <c r="Z1031" s="3">
        <f t="shared" si="40"/>
        <v>0</v>
      </c>
      <c r="AA1031" s="3">
        <f t="shared" si="40"/>
        <v>0</v>
      </c>
      <c r="AB1031" s="3">
        <f t="shared" si="40"/>
        <v>72</v>
      </c>
      <c r="AC1031" s="3">
        <f t="shared" si="40"/>
        <v>243599</v>
      </c>
      <c r="AD1031" s="3">
        <f t="shared" si="40"/>
        <v>0</v>
      </c>
      <c r="AE1031" s="3">
        <f t="shared" si="40"/>
        <v>0</v>
      </c>
      <c r="AF1031" s="3">
        <f t="shared" si="40"/>
        <v>1212</v>
      </c>
      <c r="AG1031" s="3">
        <f t="shared" si="40"/>
        <v>2400000</v>
      </c>
      <c r="AH1031" s="3">
        <f t="shared" si="40"/>
        <v>1465000</v>
      </c>
      <c r="AI1031" s="3">
        <f t="shared" si="40"/>
        <v>18230</v>
      </c>
      <c r="AJ1031" s="3">
        <f t="shared" si="40"/>
        <v>2000</v>
      </c>
      <c r="AK1031" s="3">
        <f t="shared" si="40"/>
        <v>29000</v>
      </c>
      <c r="AL1031" s="3">
        <f t="shared" si="40"/>
        <v>910500</v>
      </c>
      <c r="AM1031" s="3">
        <f t="shared" si="40"/>
        <v>40000</v>
      </c>
      <c r="AN1031" s="3">
        <f t="shared" si="40"/>
        <v>0</v>
      </c>
      <c r="AO1031" s="3">
        <f t="shared" si="40"/>
        <v>283644</v>
      </c>
      <c r="AP1031" s="3">
        <f t="shared" si="40"/>
        <v>220000</v>
      </c>
      <c r="AQ1031" s="3">
        <f t="shared" si="40"/>
        <v>2796050</v>
      </c>
      <c r="AR1031" s="3">
        <f t="shared" si="40"/>
        <v>59400</v>
      </c>
      <c r="AS1031" s="3">
        <f t="shared" si="40"/>
        <v>1478667</v>
      </c>
      <c r="AT1031" s="3">
        <f t="shared" si="40"/>
        <v>2400000</v>
      </c>
      <c r="AU1031" s="3">
        <f t="shared" si="40"/>
        <v>806000</v>
      </c>
      <c r="AV1031" s="3">
        <f t="shared" si="40"/>
        <v>2331000</v>
      </c>
      <c r="AW1031" s="3">
        <f t="shared" si="40"/>
        <v>333500</v>
      </c>
      <c r="AX1031" s="3">
        <f t="shared" si="40"/>
        <v>220000</v>
      </c>
      <c r="AY1031" s="3">
        <f t="shared" si="40"/>
        <v>185000</v>
      </c>
      <c r="AZ1031" s="3">
        <f t="shared" si="40"/>
        <v>170000</v>
      </c>
      <c r="BA1031" s="3">
        <f t="shared" si="40"/>
        <v>120000</v>
      </c>
      <c r="BB1031" s="3">
        <f t="shared" si="40"/>
        <v>53500</v>
      </c>
      <c r="BC1031" s="3">
        <f t="shared" si="40"/>
        <v>0</v>
      </c>
      <c r="BD1031" s="3">
        <f t="shared" si="40"/>
        <v>1797500</v>
      </c>
      <c r="BE1031" s="3">
        <f t="shared" si="40"/>
        <v>22000</v>
      </c>
      <c r="BF1031" s="3">
        <f t="shared" si="40"/>
        <v>127592</v>
      </c>
      <c r="BG1031" s="3">
        <f t="shared" si="40"/>
        <v>230000</v>
      </c>
      <c r="BH1031" s="3">
        <f t="shared" si="40"/>
        <v>3000</v>
      </c>
      <c r="BI1031" s="3">
        <f t="shared" si="40"/>
        <v>0</v>
      </c>
      <c r="BJ1031" s="3">
        <f t="shared" si="40"/>
        <v>0</v>
      </c>
      <c r="BK1031" s="3">
        <f t="shared" si="40"/>
        <v>1400000</v>
      </c>
      <c r="BL1031" s="3">
        <f t="shared" si="40"/>
        <v>0</v>
      </c>
      <c r="BM1031" s="3">
        <f>SUM(BM943:BM1030)</f>
        <v>0</v>
      </c>
      <c r="BN1031" s="3">
        <f t="shared" si="40"/>
        <v>0</v>
      </c>
      <c r="BO1031" s="3">
        <f t="shared" si="40"/>
        <v>250000</v>
      </c>
      <c r="BP1031" s="3">
        <f t="shared" si="40"/>
        <v>0</v>
      </c>
      <c r="BQ1031" s="3">
        <f t="shared" si="40"/>
        <v>0</v>
      </c>
      <c r="BR1031" s="3">
        <f t="shared" si="40"/>
        <v>0</v>
      </c>
      <c r="BS1031" s="3">
        <f t="shared" si="40"/>
        <v>0</v>
      </c>
      <c r="BT1031" s="3">
        <f t="shared" ref="BT1031:EJ1031" si="41">SUM(BT943:BT1030)</f>
        <v>0</v>
      </c>
      <c r="BU1031" s="3">
        <f t="shared" si="41"/>
        <v>0</v>
      </c>
      <c r="BV1031" s="3">
        <f t="shared" si="41"/>
        <v>0</v>
      </c>
      <c r="BW1031" s="3">
        <f t="shared" si="41"/>
        <v>0</v>
      </c>
      <c r="BX1031" s="3">
        <f t="shared" si="41"/>
        <v>0</v>
      </c>
      <c r="BY1031" s="3">
        <f t="shared" si="41"/>
        <v>0</v>
      </c>
      <c r="BZ1031" s="3">
        <f t="shared" si="41"/>
        <v>0</v>
      </c>
      <c r="CA1031" s="3">
        <f t="shared" si="41"/>
        <v>0</v>
      </c>
      <c r="CB1031" s="3">
        <f t="shared" si="41"/>
        <v>0</v>
      </c>
      <c r="CC1031" s="3">
        <f t="shared" si="41"/>
        <v>0</v>
      </c>
      <c r="CD1031" s="3">
        <f t="shared" si="41"/>
        <v>0</v>
      </c>
      <c r="CE1031" s="3">
        <f t="shared" si="41"/>
        <v>0</v>
      </c>
      <c r="CF1031" s="3">
        <f t="shared" si="41"/>
        <v>0</v>
      </c>
      <c r="CG1031" s="3">
        <f t="shared" si="41"/>
        <v>0</v>
      </c>
      <c r="CH1031" s="3">
        <f t="shared" si="41"/>
        <v>0</v>
      </c>
      <c r="CI1031" s="3">
        <f t="shared" si="41"/>
        <v>0</v>
      </c>
      <c r="CJ1031" s="3">
        <f t="shared" si="41"/>
        <v>0</v>
      </c>
      <c r="CK1031" s="3">
        <f t="shared" si="41"/>
        <v>0</v>
      </c>
      <c r="CL1031" s="3">
        <f t="shared" si="41"/>
        <v>0</v>
      </c>
      <c r="CM1031" s="3">
        <f t="shared" si="41"/>
        <v>0</v>
      </c>
      <c r="CN1031" s="3">
        <f t="shared" si="41"/>
        <v>0</v>
      </c>
      <c r="CO1031" s="3">
        <f t="shared" si="41"/>
        <v>60</v>
      </c>
      <c r="CR1031" s="3">
        <f t="shared" si="41"/>
        <v>0</v>
      </c>
      <c r="CS1031" s="3">
        <f t="shared" si="41"/>
        <v>6000</v>
      </c>
      <c r="CT1031" s="3">
        <f t="shared" si="41"/>
        <v>0</v>
      </c>
      <c r="CV1031" s="3">
        <f t="shared" si="41"/>
        <v>0</v>
      </c>
      <c r="CW1031" s="3">
        <f t="shared" si="41"/>
        <v>0</v>
      </c>
      <c r="CX1031" s="3">
        <f t="shared" si="41"/>
        <v>1000</v>
      </c>
      <c r="CY1031" s="3">
        <f t="shared" si="41"/>
        <v>0</v>
      </c>
      <c r="CZ1031" s="3">
        <f t="shared" si="41"/>
        <v>0</v>
      </c>
      <c r="DA1031" s="3">
        <f t="shared" si="41"/>
        <v>32000</v>
      </c>
      <c r="DB1031" s="3">
        <f t="shared" si="41"/>
        <v>0</v>
      </c>
      <c r="DC1031" s="3">
        <f t="shared" si="41"/>
        <v>138497</v>
      </c>
      <c r="DD1031" s="3">
        <f t="shared" si="41"/>
        <v>300000</v>
      </c>
      <c r="DE1031" s="3">
        <f t="shared" si="41"/>
        <v>0</v>
      </c>
      <c r="DF1031" s="3">
        <f t="shared" si="41"/>
        <v>23</v>
      </c>
      <c r="DG1031" s="3">
        <f t="shared" si="41"/>
        <v>0</v>
      </c>
      <c r="DI1031" s="3">
        <f t="shared" si="41"/>
        <v>140000</v>
      </c>
      <c r="DJ1031" s="3">
        <f t="shared" si="41"/>
        <v>0</v>
      </c>
      <c r="DK1031" s="3">
        <f t="shared" si="41"/>
        <v>613390</v>
      </c>
      <c r="DL1031" s="3">
        <f t="shared" si="41"/>
        <v>157680</v>
      </c>
      <c r="DM1031" s="3">
        <f t="shared" si="41"/>
        <v>53700</v>
      </c>
      <c r="DN1031" s="3">
        <f t="shared" si="41"/>
        <v>27500</v>
      </c>
      <c r="DO1031" s="3">
        <f t="shared" si="41"/>
        <v>605600</v>
      </c>
      <c r="DP1031" s="3">
        <f t="shared" si="41"/>
        <v>0</v>
      </c>
      <c r="DQ1031" s="3">
        <f t="shared" si="41"/>
        <v>0</v>
      </c>
      <c r="DR1031" s="3">
        <f t="shared" si="41"/>
        <v>0</v>
      </c>
      <c r="DS1031" s="3">
        <f t="shared" si="41"/>
        <v>0</v>
      </c>
      <c r="DT1031" s="3">
        <f t="shared" si="41"/>
        <v>0</v>
      </c>
      <c r="DU1031" s="3">
        <f t="shared" si="41"/>
        <v>0</v>
      </c>
      <c r="DV1031" s="3">
        <f t="shared" si="41"/>
        <v>0</v>
      </c>
      <c r="DW1031" s="3">
        <f t="shared" si="41"/>
        <v>35000</v>
      </c>
      <c r="DX1031" s="3">
        <f t="shared" si="41"/>
        <v>0</v>
      </c>
      <c r="DY1031" s="3">
        <f t="shared" si="41"/>
        <v>0</v>
      </c>
      <c r="DZ1031" s="3">
        <f t="shared" si="41"/>
        <v>0</v>
      </c>
      <c r="EB1031" s="3">
        <f t="shared" si="41"/>
        <v>0</v>
      </c>
      <c r="EC1031" s="3">
        <f t="shared" si="41"/>
        <v>0</v>
      </c>
      <c r="ED1031" s="3">
        <f t="shared" si="41"/>
        <v>0</v>
      </c>
      <c r="EE1031" s="3">
        <f t="shared" si="41"/>
        <v>0</v>
      </c>
      <c r="EF1031" s="3">
        <f t="shared" si="41"/>
        <v>0</v>
      </c>
      <c r="EG1031" s="3">
        <f t="shared" si="41"/>
        <v>0</v>
      </c>
      <c r="EH1031" s="3">
        <f t="shared" si="41"/>
        <v>400</v>
      </c>
      <c r="EI1031" s="3">
        <f t="shared" si="41"/>
        <v>0</v>
      </c>
      <c r="EJ1031" s="3">
        <f t="shared" si="41"/>
        <v>0</v>
      </c>
      <c r="EK1031" s="3">
        <f t="shared" ref="EK1031:GD1031" si="42">SUM(EK943:EK1030)</f>
        <v>8148</v>
      </c>
      <c r="EL1031" s="3">
        <f t="shared" si="42"/>
        <v>0</v>
      </c>
      <c r="EM1031" s="3">
        <f t="shared" si="42"/>
        <v>0</v>
      </c>
      <c r="EN1031" s="3">
        <f t="shared" si="42"/>
        <v>0</v>
      </c>
      <c r="EO1031" s="3">
        <f t="shared" si="42"/>
        <v>0</v>
      </c>
      <c r="EP1031" s="3">
        <f t="shared" si="42"/>
        <v>256</v>
      </c>
      <c r="EQ1031" s="3">
        <f t="shared" si="42"/>
        <v>1385</v>
      </c>
      <c r="ER1031" s="3">
        <f t="shared" si="42"/>
        <v>8500</v>
      </c>
      <c r="ES1031" s="3">
        <f t="shared" si="42"/>
        <v>7100</v>
      </c>
      <c r="ET1031" s="3">
        <f t="shared" si="42"/>
        <v>0</v>
      </c>
      <c r="EU1031" s="3">
        <f t="shared" si="42"/>
        <v>1400</v>
      </c>
      <c r="EV1031" s="3">
        <f t="shared" si="42"/>
        <v>0</v>
      </c>
      <c r="EW1031" s="3">
        <f t="shared" si="42"/>
        <v>0</v>
      </c>
      <c r="EX1031" s="3">
        <f t="shared" si="42"/>
        <v>0</v>
      </c>
      <c r="EY1031" s="3">
        <f t="shared" si="42"/>
        <v>0</v>
      </c>
      <c r="EZ1031" s="3">
        <f t="shared" si="42"/>
        <v>0</v>
      </c>
      <c r="FA1031" s="3">
        <f t="shared" si="42"/>
        <v>0</v>
      </c>
      <c r="FB1031" s="3">
        <f t="shared" si="42"/>
        <v>0</v>
      </c>
      <c r="FC1031" s="3">
        <f t="shared" si="42"/>
        <v>47630</v>
      </c>
      <c r="FD1031" s="3">
        <f t="shared" si="42"/>
        <v>0</v>
      </c>
      <c r="FE1031" s="3">
        <f t="shared" si="42"/>
        <v>11610</v>
      </c>
      <c r="FF1031" s="3">
        <f t="shared" si="42"/>
        <v>0</v>
      </c>
      <c r="FG1031" s="3">
        <f t="shared" si="42"/>
        <v>0</v>
      </c>
      <c r="FH1031" s="3">
        <f t="shared" si="42"/>
        <v>0</v>
      </c>
      <c r="FI1031" s="3">
        <f t="shared" si="42"/>
        <v>496000</v>
      </c>
      <c r="FJ1031" s="3">
        <f t="shared" si="42"/>
        <v>0</v>
      </c>
      <c r="FK1031" s="3">
        <f t="shared" si="42"/>
        <v>0</v>
      </c>
      <c r="FL1031" s="3">
        <f t="shared" si="42"/>
        <v>960</v>
      </c>
      <c r="FM1031" s="3">
        <f t="shared" si="42"/>
        <v>0</v>
      </c>
      <c r="FN1031" s="3">
        <f t="shared" si="42"/>
        <v>0</v>
      </c>
      <c r="FO1031" s="3">
        <f t="shared" si="42"/>
        <v>0</v>
      </c>
      <c r="FP1031" s="3">
        <f t="shared" si="42"/>
        <v>0</v>
      </c>
      <c r="FQ1031" s="3">
        <f t="shared" si="42"/>
        <v>0</v>
      </c>
      <c r="FR1031" s="3">
        <f t="shared" si="42"/>
        <v>0</v>
      </c>
      <c r="FS1031" s="3">
        <f t="shared" si="42"/>
        <v>0</v>
      </c>
      <c r="FT1031" s="3">
        <f t="shared" si="42"/>
        <v>0</v>
      </c>
      <c r="FU1031" s="3">
        <f t="shared" si="42"/>
        <v>0</v>
      </c>
      <c r="FV1031" s="3">
        <f t="shared" si="42"/>
        <v>0</v>
      </c>
      <c r="FW1031" s="3">
        <f t="shared" si="42"/>
        <v>0</v>
      </c>
      <c r="FX1031" s="3">
        <f t="shared" si="42"/>
        <v>0</v>
      </c>
      <c r="FY1031" s="3">
        <f t="shared" si="42"/>
        <v>0</v>
      </c>
      <c r="FZ1031" s="3">
        <f t="shared" si="42"/>
        <v>285</v>
      </c>
      <c r="GA1031" s="3">
        <f t="shared" si="42"/>
        <v>0</v>
      </c>
      <c r="GB1031" s="3">
        <f t="shared" si="42"/>
        <v>0</v>
      </c>
      <c r="GC1031" s="3">
        <f t="shared" si="42"/>
        <v>113110</v>
      </c>
      <c r="GD1031" s="3">
        <f t="shared" si="42"/>
        <v>3197500</v>
      </c>
    </row>
    <row r="1036" spans="1:199" s="3" customFormat="1" x14ac:dyDescent="0.25">
      <c r="A1036" s="2"/>
      <c r="B1036" s="204"/>
      <c r="D1036" s="222"/>
      <c r="E1036" s="246"/>
      <c r="F1036" s="259"/>
      <c r="G1036" s="259"/>
      <c r="H1036" s="205"/>
      <c r="I1036" s="380" t="s">
        <v>205</v>
      </c>
      <c r="J1036" s="380"/>
      <c r="K1036" s="380"/>
      <c r="L1036" s="380"/>
      <c r="M1036" s="380"/>
      <c r="N1036" s="380"/>
      <c r="O1036" s="380"/>
      <c r="P1036" s="380"/>
      <c r="Q1036" s="380"/>
      <c r="R1036" s="380"/>
      <c r="S1036" s="380"/>
      <c r="T1036" s="380"/>
      <c r="U1036" s="380"/>
      <c r="V1036" s="380"/>
      <c r="W1036" s="380"/>
      <c r="X1036" s="380"/>
      <c r="Y1036" s="380"/>
      <c r="Z1036" s="380" t="s">
        <v>90</v>
      </c>
      <c r="AA1036" s="380"/>
      <c r="AB1036" s="380"/>
      <c r="AC1036" s="380"/>
      <c r="AD1036" s="380"/>
      <c r="AE1036" s="380"/>
      <c r="AF1036" s="380"/>
      <c r="AG1036" s="380"/>
      <c r="AH1036" s="380"/>
      <c r="AI1036" s="380"/>
      <c r="AJ1036" s="380"/>
      <c r="AK1036" s="380"/>
      <c r="AL1036" s="380"/>
      <c r="AM1036" s="380"/>
      <c r="AN1036" s="380"/>
      <c r="AO1036" s="380"/>
      <c r="AP1036" s="380"/>
      <c r="AQ1036" s="380"/>
      <c r="AR1036" s="380"/>
      <c r="AS1036" s="380"/>
      <c r="AT1036" s="380"/>
      <c r="AU1036" s="380"/>
      <c r="AV1036" s="380"/>
      <c r="AW1036" s="380"/>
      <c r="AX1036" s="380"/>
      <c r="AY1036" s="380"/>
      <c r="AZ1036" s="380"/>
      <c r="BA1036" s="380"/>
      <c r="BB1036" s="380"/>
      <c r="BC1036" s="380"/>
      <c r="BD1036" s="380"/>
      <c r="BE1036" s="380"/>
      <c r="BF1036" s="380"/>
      <c r="BG1036" s="380"/>
      <c r="BH1036" s="380"/>
      <c r="BI1036" s="380" t="s">
        <v>77</v>
      </c>
      <c r="BJ1036" s="380"/>
      <c r="BK1036" s="380"/>
      <c r="BL1036" s="380"/>
      <c r="BM1036" s="380"/>
      <c r="BN1036" s="380" t="s">
        <v>65</v>
      </c>
      <c r="BO1036" s="380"/>
      <c r="BP1036" s="380"/>
      <c r="BQ1036" s="380" t="s">
        <v>15</v>
      </c>
      <c r="BR1036" s="380"/>
      <c r="BS1036" s="380"/>
      <c r="BT1036" s="380"/>
      <c r="BU1036" s="380"/>
      <c r="BV1036" s="380"/>
      <c r="BW1036" s="380"/>
      <c r="BX1036" s="380"/>
      <c r="BY1036" s="380"/>
      <c r="BZ1036" s="380"/>
      <c r="CA1036" s="380"/>
      <c r="CB1036" s="380"/>
      <c r="CC1036" s="380"/>
      <c r="CD1036" s="380"/>
      <c r="CE1036" s="380" t="s">
        <v>4</v>
      </c>
      <c r="CF1036" s="380"/>
      <c r="CG1036" s="380"/>
      <c r="CH1036" s="380"/>
      <c r="CI1036" s="380"/>
      <c r="CJ1036" s="380"/>
      <c r="CK1036" s="380"/>
      <c r="CL1036" s="380"/>
      <c r="CM1036" s="380"/>
      <c r="CN1036" s="380"/>
      <c r="CO1036" s="380" t="s">
        <v>21</v>
      </c>
      <c r="CP1036" s="380"/>
      <c r="CQ1036" s="380"/>
      <c r="CR1036" s="380"/>
      <c r="CS1036" s="380"/>
      <c r="CT1036" s="380"/>
      <c r="CU1036" s="380"/>
      <c r="CV1036" s="380"/>
      <c r="CW1036" s="380"/>
      <c r="CX1036" s="380"/>
      <c r="CY1036" s="380"/>
      <c r="CZ1036" s="380"/>
      <c r="DA1036" s="380"/>
      <c r="DB1036" s="380"/>
      <c r="DC1036" s="380"/>
      <c r="DD1036" s="380"/>
      <c r="DE1036" s="380"/>
      <c r="DF1036" s="380"/>
      <c r="DG1036" s="380"/>
      <c r="DH1036" s="380"/>
      <c r="DI1036" s="380"/>
      <c r="DK1036" s="2"/>
      <c r="DL1036" s="2"/>
      <c r="DM1036" s="2"/>
      <c r="DN1036" s="2"/>
      <c r="DO1036" s="2"/>
      <c r="DP1036" s="381" t="s">
        <v>317</v>
      </c>
      <c r="DQ1036" s="381"/>
      <c r="DR1036" s="381"/>
      <c r="DS1036" s="381"/>
      <c r="DT1036" s="381"/>
      <c r="DU1036" s="381"/>
      <c r="DV1036" s="381"/>
      <c r="DW1036" s="381"/>
      <c r="DX1036" s="381"/>
      <c r="DY1036" s="381"/>
      <c r="DZ1036" s="381"/>
      <c r="EA1036" s="381"/>
      <c r="EB1036" s="381"/>
      <c r="EC1036" s="381"/>
      <c r="ED1036" s="381"/>
      <c r="EE1036" s="381"/>
      <c r="EF1036" s="381"/>
      <c r="EG1036" s="381"/>
      <c r="EH1036" s="381"/>
      <c r="EI1036" s="381"/>
      <c r="EJ1036" s="381"/>
      <c r="EK1036" s="381"/>
      <c r="EL1036" s="381"/>
      <c r="EM1036" s="381"/>
      <c r="EN1036" s="381"/>
      <c r="EO1036" s="381"/>
      <c r="EP1036" s="381"/>
      <c r="EQ1036" s="381"/>
      <c r="ER1036" s="381"/>
      <c r="ES1036" s="381"/>
      <c r="ET1036" s="381"/>
      <c r="EU1036" s="381"/>
      <c r="EV1036" s="381"/>
      <c r="EW1036" s="381"/>
      <c r="EX1036" s="381"/>
      <c r="EY1036" s="381"/>
      <c r="EZ1036" s="381"/>
      <c r="FA1036" s="381"/>
      <c r="FB1036" s="381"/>
      <c r="FC1036" s="381"/>
      <c r="FD1036" s="381"/>
      <c r="FE1036" s="381"/>
      <c r="FF1036" s="381"/>
      <c r="FG1036" s="381"/>
      <c r="FH1036" s="381"/>
      <c r="FI1036" s="381"/>
      <c r="FJ1036" s="381"/>
      <c r="FK1036" s="381"/>
      <c r="FL1036" s="381"/>
      <c r="FM1036" s="381"/>
      <c r="FN1036" s="381"/>
      <c r="FO1036" s="381"/>
      <c r="FP1036" s="381"/>
      <c r="FQ1036" s="381"/>
      <c r="FR1036" s="381"/>
      <c r="FS1036" s="381"/>
      <c r="FT1036" s="381"/>
      <c r="FU1036" s="381"/>
      <c r="FV1036" s="381"/>
      <c r="FW1036" s="381"/>
      <c r="FX1036" s="381"/>
      <c r="FY1036" s="206"/>
      <c r="FZ1036" s="206"/>
      <c r="GA1036" s="206"/>
      <c r="GB1036" s="206"/>
      <c r="GC1036" s="206"/>
      <c r="GD1036" s="207"/>
      <c r="GE1036" s="207"/>
    </row>
    <row r="1037" spans="1:199" s="2" customFormat="1" x14ac:dyDescent="0.25">
      <c r="A1037" s="2" t="s">
        <v>0</v>
      </c>
      <c r="B1037" s="2" t="s">
        <v>5</v>
      </c>
      <c r="C1037" s="2" t="s">
        <v>89</v>
      </c>
      <c r="D1037" s="222" t="s">
        <v>95</v>
      </c>
      <c r="E1037" s="246"/>
      <c r="F1037" s="259"/>
      <c r="G1037" s="259"/>
      <c r="H1037" s="2" t="s">
        <v>28</v>
      </c>
      <c r="I1037" s="214" t="s">
        <v>382</v>
      </c>
      <c r="J1037" s="214" t="s">
        <v>2044</v>
      </c>
      <c r="K1037" s="214" t="s">
        <v>2045</v>
      </c>
      <c r="L1037" s="214" t="s">
        <v>2046</v>
      </c>
      <c r="M1037" s="214" t="s">
        <v>1548</v>
      </c>
      <c r="N1037" s="214" t="s">
        <v>1658</v>
      </c>
      <c r="O1037" s="214" t="s">
        <v>1660</v>
      </c>
      <c r="P1037" s="214" t="s">
        <v>1659</v>
      </c>
      <c r="Q1037" s="214" t="s">
        <v>705</v>
      </c>
      <c r="R1037" s="214" t="s">
        <v>1661</v>
      </c>
      <c r="S1037" s="214" t="s">
        <v>93</v>
      </c>
      <c r="T1037" s="214" t="s">
        <v>567</v>
      </c>
      <c r="U1037" s="214" t="s">
        <v>1368</v>
      </c>
      <c r="V1037" s="214" t="s">
        <v>353</v>
      </c>
      <c r="W1037" s="214" t="s">
        <v>206</v>
      </c>
      <c r="X1037" s="240" t="s">
        <v>2204</v>
      </c>
      <c r="Y1037" s="214" t="s">
        <v>207</v>
      </c>
      <c r="Z1037" s="2" t="s">
        <v>91</v>
      </c>
      <c r="AA1037" s="2" t="s">
        <v>261</v>
      </c>
      <c r="AB1037" s="2" t="s">
        <v>606</v>
      </c>
      <c r="AC1037" s="2" t="s">
        <v>938</v>
      </c>
      <c r="AD1037" s="2" t="s">
        <v>674</v>
      </c>
      <c r="AE1037" s="2" t="s">
        <v>1565</v>
      </c>
      <c r="AF1037" s="2" t="s">
        <v>1507</v>
      </c>
      <c r="AG1037" s="2" t="s">
        <v>531</v>
      </c>
      <c r="AH1037" s="2" t="s">
        <v>541</v>
      </c>
      <c r="AI1037" s="2" t="s">
        <v>382</v>
      </c>
      <c r="AJ1037" s="2" t="s">
        <v>708</v>
      </c>
      <c r="AK1037" s="2" t="s">
        <v>553</v>
      </c>
      <c r="AL1037" s="2" t="s">
        <v>93</v>
      </c>
      <c r="AM1037" s="2" t="s">
        <v>632</v>
      </c>
      <c r="AN1037" s="240" t="s">
        <v>2191</v>
      </c>
      <c r="AO1037" s="2" t="s">
        <v>931</v>
      </c>
      <c r="AP1037" s="2" t="s">
        <v>1566</v>
      </c>
      <c r="AQ1037" s="2" t="s">
        <v>635</v>
      </c>
      <c r="AR1037" s="2" t="s">
        <v>1425</v>
      </c>
      <c r="AS1037" s="2" t="s">
        <v>1530</v>
      </c>
      <c r="AT1037" s="2" t="s">
        <v>1732</v>
      </c>
      <c r="AU1037" s="2" t="s">
        <v>895</v>
      </c>
      <c r="AV1037" s="2" t="s">
        <v>1459</v>
      </c>
      <c r="AW1037" s="2" t="s">
        <v>1240</v>
      </c>
      <c r="AX1037" s="2" t="s">
        <v>1505</v>
      </c>
      <c r="AY1037" s="2" t="s">
        <v>556</v>
      </c>
      <c r="AZ1037" s="2" t="s">
        <v>1434</v>
      </c>
      <c r="BA1037" s="2" t="s">
        <v>640</v>
      </c>
      <c r="BB1037" s="2" t="s">
        <v>552</v>
      </c>
      <c r="BC1037" s="2" t="s">
        <v>565</v>
      </c>
      <c r="BD1037" s="2" t="s">
        <v>597</v>
      </c>
      <c r="BE1037" s="2" t="s">
        <v>488</v>
      </c>
      <c r="BF1037" s="2" t="s">
        <v>1247</v>
      </c>
      <c r="BG1037" s="2" t="s">
        <v>242</v>
      </c>
      <c r="BH1037" s="2" t="s">
        <v>92</v>
      </c>
      <c r="BI1037" s="2" t="s">
        <v>80</v>
      </c>
      <c r="BJ1037" s="2" t="s">
        <v>1430</v>
      </c>
      <c r="BK1037" s="2" t="s">
        <v>256</v>
      </c>
      <c r="BL1037" s="2" t="s">
        <v>673</v>
      </c>
      <c r="BM1037" s="2" t="s">
        <v>81</v>
      </c>
      <c r="BN1037" s="2" t="s">
        <v>80</v>
      </c>
      <c r="BO1037" s="2" t="s">
        <v>1430</v>
      </c>
      <c r="BP1037" s="2" t="s">
        <v>81</v>
      </c>
      <c r="BQ1037" s="2" t="s">
        <v>226</v>
      </c>
      <c r="BR1037" s="2" t="s">
        <v>69</v>
      </c>
      <c r="BS1037" s="2" t="s">
        <v>84</v>
      </c>
      <c r="BT1037" s="2" t="s">
        <v>76</v>
      </c>
      <c r="BU1037" s="2" t="s">
        <v>38</v>
      </c>
      <c r="BV1037" s="2" t="s">
        <v>271</v>
      </c>
      <c r="BW1037" s="2" t="s">
        <v>34</v>
      </c>
      <c r="BX1037" s="2" t="s">
        <v>35</v>
      </c>
      <c r="BY1037" s="2" t="s">
        <v>6</v>
      </c>
      <c r="BZ1037" s="2" t="s">
        <v>82</v>
      </c>
      <c r="CA1037" s="2" t="s">
        <v>63</v>
      </c>
      <c r="CB1037" s="2" t="s">
        <v>68</v>
      </c>
      <c r="CC1037" s="2" t="s">
        <v>221</v>
      </c>
      <c r="CD1037" s="2" t="s">
        <v>83</v>
      </c>
      <c r="CE1037" s="2" t="s">
        <v>37</v>
      </c>
      <c r="CF1037" s="2" t="s">
        <v>74</v>
      </c>
      <c r="CG1037" s="2" t="s">
        <v>39</v>
      </c>
      <c r="CH1037" s="2" t="s">
        <v>6</v>
      </c>
      <c r="CI1037" s="2" t="s">
        <v>38</v>
      </c>
      <c r="CJ1037" s="2" t="s">
        <v>78</v>
      </c>
      <c r="CK1037" s="2" t="s">
        <v>79</v>
      </c>
      <c r="CL1037" s="2" t="s">
        <v>59</v>
      </c>
      <c r="CM1037" s="2" t="s">
        <v>36</v>
      </c>
      <c r="CN1037" s="2" t="s">
        <v>63</v>
      </c>
      <c r="CO1037" s="2" t="s">
        <v>38</v>
      </c>
      <c r="CP1037" s="339"/>
      <c r="CQ1037" s="348"/>
      <c r="CR1037" s="2" t="s">
        <v>6</v>
      </c>
      <c r="CS1037" s="2" t="s">
        <v>37</v>
      </c>
      <c r="CT1037" s="2" t="s">
        <v>1186</v>
      </c>
      <c r="CU1037" s="360"/>
      <c r="CV1037" s="2" t="s">
        <v>1189</v>
      </c>
      <c r="CW1037" s="2" t="s">
        <v>39</v>
      </c>
      <c r="CX1037" s="2" t="s">
        <v>690</v>
      </c>
      <c r="CY1037" s="2" t="s">
        <v>19</v>
      </c>
      <c r="CZ1037" s="230" t="s">
        <v>2125</v>
      </c>
      <c r="DA1037" s="2" t="s">
        <v>68</v>
      </c>
      <c r="DB1037" s="2" t="s">
        <v>323</v>
      </c>
      <c r="DC1037" s="2" t="s">
        <v>69</v>
      </c>
      <c r="DD1037" s="2" t="s">
        <v>1776</v>
      </c>
      <c r="DE1037" s="220" t="s">
        <v>2065</v>
      </c>
      <c r="DF1037" s="2" t="s">
        <v>377</v>
      </c>
      <c r="DG1037" s="2" t="s">
        <v>1514</v>
      </c>
      <c r="DH1037" s="355"/>
      <c r="DI1037" s="2" t="s">
        <v>62</v>
      </c>
      <c r="DJ1037" s="205" t="s">
        <v>392</v>
      </c>
      <c r="DK1037" s="240" t="s">
        <v>2190</v>
      </c>
      <c r="DL1037" s="2" t="s">
        <v>604</v>
      </c>
      <c r="DM1037" s="2" t="s">
        <v>1132</v>
      </c>
      <c r="DN1037" s="2" t="s">
        <v>1248</v>
      </c>
      <c r="DO1037" s="2" t="s">
        <v>634</v>
      </c>
      <c r="DP1037" s="2" t="s">
        <v>306</v>
      </c>
      <c r="DQ1037" s="2" t="s">
        <v>896</v>
      </c>
      <c r="DR1037" s="51" t="s">
        <v>307</v>
      </c>
      <c r="DS1037" s="238" t="s">
        <v>2141</v>
      </c>
      <c r="DT1037" s="238" t="s">
        <v>2142</v>
      </c>
      <c r="DU1037" s="238" t="s">
        <v>2143</v>
      </c>
      <c r="DV1037" s="2" t="s">
        <v>69</v>
      </c>
      <c r="DW1037" s="2" t="s">
        <v>1672</v>
      </c>
      <c r="DX1037" s="2" t="s">
        <v>84</v>
      </c>
      <c r="DY1037" s="2" t="s">
        <v>712</v>
      </c>
      <c r="DZ1037" s="2" t="s">
        <v>710</v>
      </c>
      <c r="EA1037" s="240" t="s">
        <v>2203</v>
      </c>
      <c r="EB1037" s="223" t="s">
        <v>2093</v>
      </c>
      <c r="EC1037" s="2" t="s">
        <v>1289</v>
      </c>
      <c r="ED1037" s="2" t="s">
        <v>902</v>
      </c>
      <c r="EE1037" s="2" t="s">
        <v>888</v>
      </c>
      <c r="EF1037" s="2" t="s">
        <v>624</v>
      </c>
      <c r="EG1037" s="2" t="s">
        <v>699</v>
      </c>
      <c r="EH1037" s="2" t="s">
        <v>37</v>
      </c>
      <c r="EI1037" s="223" t="s">
        <v>2089</v>
      </c>
      <c r="EJ1037" s="2" t="s">
        <v>76</v>
      </c>
      <c r="EK1037" s="2" t="s">
        <v>38</v>
      </c>
      <c r="EL1037" s="2" t="s">
        <v>611</v>
      </c>
      <c r="EM1037" s="2" t="s">
        <v>612</v>
      </c>
      <c r="EN1037" s="2" t="s">
        <v>613</v>
      </c>
      <c r="EO1037" s="2" t="s">
        <v>620</v>
      </c>
      <c r="EP1037" s="2" t="s">
        <v>377</v>
      </c>
      <c r="EQ1037" s="2" t="s">
        <v>271</v>
      </c>
      <c r="ER1037" s="2" t="s">
        <v>34</v>
      </c>
      <c r="ES1037" s="2" t="s">
        <v>35</v>
      </c>
      <c r="ET1037" s="2" t="s">
        <v>713</v>
      </c>
      <c r="EU1037" s="2" t="s">
        <v>621</v>
      </c>
      <c r="EV1037" s="2" t="s">
        <v>622</v>
      </c>
      <c r="EW1037" s="2" t="s">
        <v>623</v>
      </c>
      <c r="EX1037" s="214" t="s">
        <v>2047</v>
      </c>
      <c r="EY1037" s="2" t="s">
        <v>6</v>
      </c>
      <c r="EZ1037" s="2" t="s">
        <v>603</v>
      </c>
      <c r="FA1037" s="2" t="s">
        <v>618</v>
      </c>
      <c r="FB1037" s="2" t="s">
        <v>1249</v>
      </c>
      <c r="FC1037" s="2" t="s">
        <v>82</v>
      </c>
      <c r="FD1037" s="2" t="s">
        <v>489</v>
      </c>
      <c r="FE1037" s="2" t="s">
        <v>63</v>
      </c>
      <c r="FF1037" s="2" t="s">
        <v>68</v>
      </c>
      <c r="FG1037" s="2" t="s">
        <v>442</v>
      </c>
      <c r="FH1037" s="2" t="s">
        <v>1371</v>
      </c>
      <c r="FI1037" s="2" t="s">
        <v>1593</v>
      </c>
      <c r="FJ1037" s="2" t="s">
        <v>221</v>
      </c>
      <c r="FK1037" s="2" t="s">
        <v>83</v>
      </c>
      <c r="FL1037" s="2" t="s">
        <v>19</v>
      </c>
      <c r="FM1037" s="2" t="s">
        <v>648</v>
      </c>
      <c r="FN1037" s="2" t="s">
        <v>649</v>
      </c>
      <c r="FO1037" s="2" t="s">
        <v>650</v>
      </c>
      <c r="FP1037" s="2" t="s">
        <v>962</v>
      </c>
      <c r="FQ1037" s="2" t="s">
        <v>470</v>
      </c>
      <c r="FR1037" s="2" t="s">
        <v>363</v>
      </c>
      <c r="FS1037" s="2" t="s">
        <v>489</v>
      </c>
      <c r="FT1037" s="2" t="s">
        <v>676</v>
      </c>
      <c r="FU1037" s="2" t="s">
        <v>490</v>
      </c>
      <c r="FV1037" s="2" t="s">
        <v>596</v>
      </c>
      <c r="FW1037" s="2" t="s">
        <v>417</v>
      </c>
      <c r="FX1037" s="2" t="s">
        <v>472</v>
      </c>
      <c r="FY1037" s="2" t="s">
        <v>933</v>
      </c>
      <c r="FZ1037" s="2" t="s">
        <v>1293</v>
      </c>
      <c r="GA1037" s="2" t="s">
        <v>1654</v>
      </c>
      <c r="GB1037" s="2" t="s">
        <v>1655</v>
      </c>
      <c r="GC1037" s="2" t="s">
        <v>1726</v>
      </c>
      <c r="GD1037" s="2" t="s">
        <v>566</v>
      </c>
      <c r="GE1037" s="279"/>
      <c r="GG1037" s="367"/>
      <c r="GH1037" s="295"/>
      <c r="GI1037" s="279"/>
      <c r="GQ1037" s="315"/>
    </row>
    <row r="1038" spans="1:199" x14ac:dyDescent="0.25">
      <c r="A1038" s="195" t="s">
        <v>1796</v>
      </c>
      <c r="B1038" s="18" t="s">
        <v>2</v>
      </c>
      <c r="C1038" s="1">
        <f>C1031</f>
        <v>1754435</v>
      </c>
      <c r="I1038" s="1">
        <f>I1031</f>
        <v>0</v>
      </c>
      <c r="M1038" s="1">
        <f>M1031</f>
        <v>0</v>
      </c>
      <c r="Q1038" s="1">
        <f>Q1031</f>
        <v>17500</v>
      </c>
      <c r="S1038" s="1">
        <f>S1031</f>
        <v>0</v>
      </c>
      <c r="T1038" s="1">
        <f>T1031</f>
        <v>0</v>
      </c>
      <c r="U1038" s="1">
        <f>U1031</f>
        <v>0</v>
      </c>
      <c r="V1038" s="1">
        <f>V1031</f>
        <v>-2000</v>
      </c>
      <c r="Y1038" s="1">
        <f>Y1031</f>
        <v>0</v>
      </c>
      <c r="AB1038" s="1">
        <f>AB1031</f>
        <v>72</v>
      </c>
      <c r="AC1038" s="1">
        <f>AC1031</f>
        <v>243599</v>
      </c>
      <c r="AF1038" s="1">
        <f t="shared" ref="AF1038:BM1038" si="43">AF1031</f>
        <v>1212</v>
      </c>
      <c r="AG1038" s="1">
        <f t="shared" si="43"/>
        <v>2400000</v>
      </c>
      <c r="AH1038" s="1">
        <f t="shared" si="43"/>
        <v>1465000</v>
      </c>
      <c r="AI1038" s="1">
        <f t="shared" si="43"/>
        <v>18230</v>
      </c>
      <c r="AJ1038" s="1">
        <f t="shared" si="43"/>
        <v>2000</v>
      </c>
      <c r="AK1038" s="1">
        <f t="shared" si="43"/>
        <v>29000</v>
      </c>
      <c r="AL1038" s="1">
        <f t="shared" si="43"/>
        <v>910500</v>
      </c>
      <c r="AM1038" s="1">
        <f t="shared" si="43"/>
        <v>40000</v>
      </c>
      <c r="AN1038" s="1">
        <f t="shared" si="43"/>
        <v>0</v>
      </c>
      <c r="AO1038" s="1">
        <f t="shared" si="43"/>
        <v>283644</v>
      </c>
      <c r="AP1038" s="1">
        <f t="shared" si="43"/>
        <v>220000</v>
      </c>
      <c r="AQ1038" s="1">
        <f t="shared" si="43"/>
        <v>2796050</v>
      </c>
      <c r="AR1038" s="1">
        <f t="shared" si="43"/>
        <v>59400</v>
      </c>
      <c r="AS1038" s="1">
        <f t="shared" si="43"/>
        <v>1478667</v>
      </c>
      <c r="AT1038" s="1">
        <f t="shared" si="43"/>
        <v>2400000</v>
      </c>
      <c r="AU1038" s="1">
        <f t="shared" si="43"/>
        <v>806000</v>
      </c>
      <c r="AV1038" s="1">
        <f t="shared" si="43"/>
        <v>2331000</v>
      </c>
      <c r="AW1038" s="1">
        <f t="shared" si="43"/>
        <v>333500</v>
      </c>
      <c r="AX1038" s="1">
        <f t="shared" si="43"/>
        <v>220000</v>
      </c>
      <c r="AY1038" s="1">
        <f t="shared" si="43"/>
        <v>185000</v>
      </c>
      <c r="AZ1038" s="1">
        <f t="shared" si="43"/>
        <v>170000</v>
      </c>
      <c r="BA1038" s="1">
        <f t="shared" si="43"/>
        <v>120000</v>
      </c>
      <c r="BB1038" s="1">
        <f t="shared" si="43"/>
        <v>53500</v>
      </c>
      <c r="BC1038" s="1">
        <f t="shared" si="43"/>
        <v>0</v>
      </c>
      <c r="BD1038" s="1">
        <f t="shared" si="43"/>
        <v>1797500</v>
      </c>
      <c r="BE1038" s="1">
        <f t="shared" si="43"/>
        <v>22000</v>
      </c>
      <c r="BF1038" s="1">
        <f t="shared" si="43"/>
        <v>127592</v>
      </c>
      <c r="BG1038" s="1">
        <f t="shared" si="43"/>
        <v>230000</v>
      </c>
      <c r="BH1038" s="1">
        <f t="shared" si="43"/>
        <v>3000</v>
      </c>
      <c r="BI1038" s="1">
        <f t="shared" si="43"/>
        <v>0</v>
      </c>
      <c r="BJ1038" s="1">
        <f t="shared" si="43"/>
        <v>0</v>
      </c>
      <c r="BK1038" s="1">
        <f t="shared" si="43"/>
        <v>1400000</v>
      </c>
      <c r="BL1038" s="1">
        <f t="shared" si="43"/>
        <v>0</v>
      </c>
      <c r="BM1038" s="1">
        <f t="shared" si="43"/>
        <v>0</v>
      </c>
      <c r="BO1038" s="1">
        <f>BO1031</f>
        <v>250000</v>
      </c>
      <c r="DK1038" s="1">
        <f>DK1031</f>
        <v>613390</v>
      </c>
      <c r="DL1038" s="1">
        <f>DL1031</f>
        <v>157680</v>
      </c>
      <c r="DM1038" s="1">
        <f>DM1031</f>
        <v>53700</v>
      </c>
      <c r="DN1038" s="1">
        <f>DN1031</f>
        <v>27500</v>
      </c>
      <c r="DO1038" s="1">
        <f>DO1031</f>
        <v>605600</v>
      </c>
    </row>
    <row r="1039" spans="1:199" x14ac:dyDescent="0.25">
      <c r="A1039" s="202" t="s">
        <v>1796</v>
      </c>
      <c r="B1039" s="18" t="s">
        <v>1984</v>
      </c>
      <c r="C1039" s="1">
        <v>-5000</v>
      </c>
      <c r="D1039" s="160" t="s">
        <v>2001</v>
      </c>
      <c r="E1039" s="160"/>
      <c r="F1039" s="160"/>
      <c r="G1039" s="160"/>
      <c r="AC1039" s="1">
        <v>5000</v>
      </c>
    </row>
    <row r="1040" spans="1:199" x14ac:dyDescent="0.25">
      <c r="A1040" s="202" t="s">
        <v>1796</v>
      </c>
      <c r="B1040" s="18" t="s">
        <v>1983</v>
      </c>
      <c r="C1040" s="1">
        <v>-100</v>
      </c>
      <c r="D1040" s="160" t="s">
        <v>2002</v>
      </c>
      <c r="E1040" s="160"/>
      <c r="F1040" s="160"/>
      <c r="G1040" s="160"/>
      <c r="EY1040" s="1">
        <v>100</v>
      </c>
    </row>
    <row r="1041" spans="1:168" x14ac:dyDescent="0.25">
      <c r="A1041" s="208" t="s">
        <v>1992</v>
      </c>
      <c r="B1041" s="18" t="s">
        <v>1993</v>
      </c>
      <c r="C1041" s="1">
        <v>-6000</v>
      </c>
      <c r="D1041" s="160" t="s">
        <v>2003</v>
      </c>
      <c r="E1041" s="160"/>
      <c r="F1041" s="160"/>
      <c r="G1041" s="160"/>
      <c r="AC1041" s="1">
        <v>6000</v>
      </c>
    </row>
    <row r="1042" spans="1:168" x14ac:dyDescent="0.25">
      <c r="A1042" s="208" t="s">
        <v>1992</v>
      </c>
      <c r="B1042" s="18" t="s">
        <v>1994</v>
      </c>
      <c r="C1042" s="1">
        <v>-23</v>
      </c>
      <c r="D1042" s="160" t="s">
        <v>2004</v>
      </c>
      <c r="E1042" s="160"/>
      <c r="F1042" s="160"/>
      <c r="G1042" s="160"/>
      <c r="EP1042" s="1">
        <v>23</v>
      </c>
    </row>
    <row r="1043" spans="1:168" x14ac:dyDescent="0.25">
      <c r="A1043" s="208" t="s">
        <v>1992</v>
      </c>
      <c r="B1043" s="116" t="s">
        <v>1996</v>
      </c>
      <c r="C1043" s="1">
        <v>-3000</v>
      </c>
      <c r="D1043" s="160" t="s">
        <v>2005</v>
      </c>
      <c r="E1043" s="160"/>
      <c r="F1043" s="160"/>
      <c r="G1043" s="160"/>
      <c r="DW1043" s="1">
        <v>3000</v>
      </c>
    </row>
    <row r="1044" spans="1:168" x14ac:dyDescent="0.25">
      <c r="A1044" s="209" t="s">
        <v>1997</v>
      </c>
      <c r="B1044" s="18" t="s">
        <v>670</v>
      </c>
      <c r="C1044" s="1">
        <v>-150000</v>
      </c>
      <c r="D1044" s="160" t="s">
        <v>2006</v>
      </c>
      <c r="E1044" s="160"/>
      <c r="F1044" s="160"/>
      <c r="G1044" s="160"/>
      <c r="AG1044" s="1">
        <v>150000</v>
      </c>
    </row>
    <row r="1045" spans="1:168" x14ac:dyDescent="0.25">
      <c r="A1045" s="209" t="s">
        <v>1997</v>
      </c>
      <c r="B1045" s="18" t="s">
        <v>1697</v>
      </c>
      <c r="C1045" s="1">
        <v>-68000</v>
      </c>
      <c r="D1045" s="160" t="s">
        <v>2007</v>
      </c>
      <c r="E1045" s="160"/>
      <c r="F1045" s="160"/>
      <c r="G1045" s="160"/>
      <c r="AH1045" s="1">
        <v>68000</v>
      </c>
    </row>
    <row r="1046" spans="1:168" x14ac:dyDescent="0.25">
      <c r="A1046" s="209" t="s">
        <v>1997</v>
      </c>
      <c r="B1046" s="18" t="s">
        <v>1583</v>
      </c>
      <c r="C1046" s="1">
        <v>-58</v>
      </c>
      <c r="D1046" s="160" t="s">
        <v>2008</v>
      </c>
      <c r="E1046" s="160"/>
      <c r="F1046" s="160"/>
      <c r="G1046" s="160"/>
      <c r="EP1046" s="1">
        <v>58</v>
      </c>
    </row>
    <row r="1047" spans="1:168" x14ac:dyDescent="0.25">
      <c r="A1047" s="209" t="s">
        <v>1997</v>
      </c>
      <c r="B1047" s="173" t="s">
        <v>1607</v>
      </c>
      <c r="C1047" s="1">
        <v>-30000</v>
      </c>
      <c r="D1047" s="160" t="s">
        <v>2009</v>
      </c>
      <c r="E1047" s="160"/>
      <c r="F1047" s="160"/>
      <c r="G1047" s="160"/>
      <c r="DO1047" s="1">
        <v>30000</v>
      </c>
    </row>
    <row r="1048" spans="1:168" x14ac:dyDescent="0.25">
      <c r="A1048" s="211" t="s">
        <v>2013</v>
      </c>
      <c r="B1048" s="18" t="s">
        <v>2015</v>
      </c>
      <c r="C1048" s="1">
        <f>-19460-12000</f>
        <v>-31460</v>
      </c>
      <c r="D1048" s="160" t="s">
        <v>2052</v>
      </c>
      <c r="E1048" s="160"/>
      <c r="F1048" s="160"/>
      <c r="G1048" s="160"/>
      <c r="AC1048" s="1">
        <v>31460</v>
      </c>
    </row>
    <row r="1049" spans="1:168" x14ac:dyDescent="0.25">
      <c r="A1049" s="211" t="s">
        <v>2013</v>
      </c>
      <c r="B1049" s="173" t="s">
        <v>2014</v>
      </c>
      <c r="C1049" s="1">
        <v>-23</v>
      </c>
      <c r="D1049" s="160" t="s">
        <v>2053</v>
      </c>
      <c r="E1049" s="160"/>
      <c r="F1049" s="160"/>
      <c r="G1049" s="160"/>
      <c r="EP1049" s="1">
        <v>23</v>
      </c>
    </row>
    <row r="1050" spans="1:168" x14ac:dyDescent="0.25">
      <c r="A1050" s="211" t="s">
        <v>2013</v>
      </c>
      <c r="B1050" s="173" t="s">
        <v>2016</v>
      </c>
      <c r="C1050" s="1">
        <v>-10000</v>
      </c>
      <c r="D1050" s="160" t="s">
        <v>2054</v>
      </c>
      <c r="E1050" s="160"/>
      <c r="F1050" s="160"/>
      <c r="G1050" s="160"/>
      <c r="EM1050" s="1">
        <v>10000</v>
      </c>
    </row>
    <row r="1051" spans="1:168" x14ac:dyDescent="0.25">
      <c r="A1051" s="211" t="s">
        <v>2013</v>
      </c>
      <c r="B1051" s="116" t="s">
        <v>2017</v>
      </c>
      <c r="C1051" s="1">
        <v>-200</v>
      </c>
      <c r="D1051" s="160" t="s">
        <v>2055</v>
      </c>
      <c r="E1051" s="160"/>
      <c r="F1051" s="160"/>
      <c r="G1051" s="160"/>
      <c r="EY1051" s="1">
        <v>200</v>
      </c>
    </row>
    <row r="1052" spans="1:168" x14ac:dyDescent="0.25">
      <c r="A1052" s="212" t="s">
        <v>2018</v>
      </c>
      <c r="B1052" s="84" t="s">
        <v>2019</v>
      </c>
      <c r="AL1052" s="1">
        <v>-860876</v>
      </c>
    </row>
    <row r="1053" spans="1:168" s="7" customFormat="1" x14ac:dyDescent="0.25">
      <c r="A1053" s="11"/>
      <c r="B1053" s="111" t="s">
        <v>2020</v>
      </c>
      <c r="D1053" s="11"/>
      <c r="E1053" s="11"/>
      <c r="F1053" s="11"/>
      <c r="G1053" s="11"/>
      <c r="DS1053" s="14"/>
      <c r="DT1053" s="14"/>
      <c r="DU1053" s="14"/>
      <c r="ES1053" s="7">
        <f>7000+1000+800+2830+860+690+500+500+500+500+700+602+26260+39000+48750+1950+3900+3900+14950+3900+18850+13000+500+500+52000+650</f>
        <v>244592</v>
      </c>
    </row>
    <row r="1054" spans="1:168" s="218" customFormat="1" ht="33.75" customHeight="1" x14ac:dyDescent="0.25">
      <c r="A1054" s="216"/>
      <c r="B1054" s="217" t="s">
        <v>2021</v>
      </c>
      <c r="D1054" s="216"/>
      <c r="E1054" s="216"/>
      <c r="F1054" s="216"/>
      <c r="G1054" s="216"/>
      <c r="DS1054" s="219"/>
      <c r="DT1054" s="219"/>
      <c r="DU1054" s="219"/>
      <c r="FC1054" s="218">
        <f>26750+468+3810+10000+3800+800+850+800+4000+25600+2350+4230+3800+2100+4129+600+420+300+9180+11210+120+618+200+5052+60+624+1600+25+500+1560+800+10000+2640+384+1328+140+90+2376+1617+8800+360+100+210+400+3800+1100+150+16180+300+2100+12220+1150+360+5000+5400+39990+990+2277+4637+54000+4200+1900+480+1600+180+1400+1700+5000</f>
        <v>320915</v>
      </c>
    </row>
    <row r="1055" spans="1:168" s="7" customFormat="1" x14ac:dyDescent="0.25">
      <c r="A1055" s="11"/>
      <c r="B1055" s="111" t="s">
        <v>2022</v>
      </c>
      <c r="D1055" s="11"/>
      <c r="E1055" s="11"/>
      <c r="F1055" s="11"/>
      <c r="G1055" s="11"/>
      <c r="DS1055" s="14"/>
      <c r="DT1055" s="14"/>
      <c r="DU1055" s="14"/>
      <c r="FL1055" s="7">
        <f>470+200</f>
        <v>670</v>
      </c>
    </row>
    <row r="1056" spans="1:168" s="7" customFormat="1" x14ac:dyDescent="0.25">
      <c r="A1056" s="11"/>
      <c r="B1056" s="111" t="s">
        <v>2023</v>
      </c>
      <c r="D1056" s="11"/>
      <c r="E1056" s="11"/>
      <c r="F1056" s="11"/>
      <c r="G1056" s="11"/>
      <c r="DS1056" s="14"/>
      <c r="DT1056" s="14"/>
      <c r="DU1056" s="14"/>
      <c r="EK1056" s="7">
        <f>500+585+463+807+523+370+265+185+180+130+590+80+80+420+90+250+100+100+590+30+2000</f>
        <v>8338</v>
      </c>
    </row>
    <row r="1057" spans="1:184" s="7" customFormat="1" x14ac:dyDescent="0.25">
      <c r="A1057" s="11"/>
      <c r="B1057" s="111" t="s">
        <v>2024</v>
      </c>
      <c r="D1057" s="11"/>
      <c r="E1057" s="11"/>
      <c r="F1057" s="11"/>
      <c r="G1057" s="11"/>
      <c r="DS1057" s="14"/>
      <c r="DT1057" s="14"/>
      <c r="DU1057" s="14"/>
      <c r="FE1057" s="7">
        <f>300+350+200+186+650+335+460+6000+4000+5190+2500+6500+1000+8500</f>
        <v>36171</v>
      </c>
    </row>
    <row r="1058" spans="1:184" s="7" customFormat="1" x14ac:dyDescent="0.25">
      <c r="A1058" s="11"/>
      <c r="B1058" s="111" t="s">
        <v>2025</v>
      </c>
      <c r="D1058" s="11"/>
      <c r="E1058" s="11"/>
      <c r="F1058" s="11"/>
      <c r="G1058" s="11"/>
      <c r="DS1058" s="14"/>
      <c r="DT1058" s="14"/>
      <c r="DU1058" s="14"/>
      <c r="FD1058" s="7">
        <v>700</v>
      </c>
    </row>
    <row r="1059" spans="1:184" s="7" customFormat="1" x14ac:dyDescent="0.25">
      <c r="A1059" s="11"/>
      <c r="B1059" s="111" t="s">
        <v>2026</v>
      </c>
      <c r="D1059" s="11"/>
      <c r="E1059" s="11"/>
      <c r="F1059" s="11"/>
      <c r="G1059" s="11"/>
      <c r="DS1059" s="14"/>
      <c r="DT1059" s="14"/>
      <c r="DU1059" s="14"/>
      <c r="FJ1059" s="7">
        <f>800+700+1200+12000+13000+16000+2090</f>
        <v>45790</v>
      </c>
    </row>
    <row r="1060" spans="1:184" s="7" customFormat="1" x14ac:dyDescent="0.25">
      <c r="A1060" s="11"/>
      <c r="B1060" s="111" t="s">
        <v>2027</v>
      </c>
      <c r="D1060" s="11"/>
      <c r="E1060" s="11"/>
      <c r="F1060" s="11"/>
      <c r="G1060" s="11"/>
      <c r="DS1060" s="14"/>
      <c r="DT1060" s="14"/>
      <c r="DU1060" s="14"/>
      <c r="EY1060" s="7">
        <f>300</f>
        <v>300</v>
      </c>
    </row>
    <row r="1061" spans="1:184" s="7" customFormat="1" x14ac:dyDescent="0.25">
      <c r="A1061" s="11"/>
      <c r="B1061" s="7" t="s">
        <v>2028</v>
      </c>
      <c r="D1061" s="11"/>
      <c r="E1061" s="11"/>
      <c r="F1061" s="11"/>
      <c r="G1061" s="11"/>
      <c r="DS1061" s="14"/>
      <c r="DT1061" s="14"/>
      <c r="DU1061" s="14"/>
      <c r="GB1061" s="7">
        <f>2580</f>
        <v>2580</v>
      </c>
    </row>
    <row r="1062" spans="1:184" s="7" customFormat="1" x14ac:dyDescent="0.25">
      <c r="A1062" s="11"/>
      <c r="B1062" s="111" t="s">
        <v>2029</v>
      </c>
      <c r="D1062" s="11"/>
      <c r="E1062" s="11"/>
      <c r="F1062" s="11"/>
      <c r="G1062" s="11"/>
      <c r="DS1062" s="14"/>
      <c r="DT1062" s="14"/>
      <c r="DU1062" s="14"/>
      <c r="EL1062" s="7">
        <f>4915+545+2780</f>
        <v>8240</v>
      </c>
    </row>
    <row r="1063" spans="1:184" s="7" customFormat="1" ht="14.25" customHeight="1" x14ac:dyDescent="0.25">
      <c r="A1063" s="11"/>
      <c r="B1063" s="111" t="s">
        <v>2030</v>
      </c>
      <c r="D1063" s="11"/>
      <c r="E1063" s="11"/>
      <c r="F1063" s="11"/>
      <c r="G1063" s="11"/>
      <c r="DS1063" s="14"/>
      <c r="DT1063" s="14"/>
      <c r="DU1063" s="14"/>
      <c r="DZ1063" s="7">
        <f>15000</f>
        <v>15000</v>
      </c>
    </row>
    <row r="1064" spans="1:184" x14ac:dyDescent="0.25">
      <c r="A1064" s="212"/>
      <c r="B1064" s="116" t="s">
        <v>2031</v>
      </c>
      <c r="FH1064" s="1">
        <v>50000</v>
      </c>
    </row>
    <row r="1065" spans="1:184" x14ac:dyDescent="0.25">
      <c r="A1065" s="213"/>
      <c r="B1065" s="116" t="s">
        <v>2032</v>
      </c>
      <c r="EM1065" s="1">
        <v>4000</v>
      </c>
    </row>
    <row r="1066" spans="1:184" x14ac:dyDescent="0.25">
      <c r="A1066" s="212"/>
      <c r="B1066" s="116" t="s">
        <v>2033</v>
      </c>
      <c r="EJ1066" s="1">
        <f>25000+24000+16780+20000+25000+1800</f>
        <v>112580</v>
      </c>
    </row>
    <row r="1067" spans="1:184" x14ac:dyDescent="0.25">
      <c r="A1067" s="212"/>
      <c r="B1067" s="116" t="s">
        <v>2034</v>
      </c>
      <c r="DW1067" s="1">
        <v>9000</v>
      </c>
    </row>
    <row r="1068" spans="1:184" x14ac:dyDescent="0.25">
      <c r="A1068" s="213"/>
      <c r="B1068" s="215" t="s">
        <v>703</v>
      </c>
    </row>
    <row r="1069" spans="1:184" x14ac:dyDescent="0.25">
      <c r="A1069" s="213"/>
      <c r="B1069" s="116" t="s">
        <v>2035</v>
      </c>
      <c r="Q1069" s="1">
        <v>2000</v>
      </c>
    </row>
    <row r="1070" spans="1:184" x14ac:dyDescent="0.25">
      <c r="A1070" s="213" t="s">
        <v>2036</v>
      </c>
      <c r="B1070" s="18" t="s">
        <v>1993</v>
      </c>
      <c r="C1070" s="1">
        <v>-5000</v>
      </c>
      <c r="D1070" s="160" t="s">
        <v>2056</v>
      </c>
      <c r="E1070" s="160"/>
      <c r="F1070" s="160"/>
      <c r="G1070" s="160"/>
      <c r="AC1070" s="1">
        <v>5000</v>
      </c>
    </row>
    <row r="1071" spans="1:184" x14ac:dyDescent="0.25">
      <c r="A1071" s="213" t="s">
        <v>2036</v>
      </c>
      <c r="B1071" s="18" t="s">
        <v>1994</v>
      </c>
      <c r="C1071" s="1">
        <v>-23</v>
      </c>
      <c r="D1071" s="160" t="s">
        <v>2057</v>
      </c>
      <c r="E1071" s="160"/>
      <c r="F1071" s="160"/>
      <c r="G1071" s="160"/>
      <c r="EP1071" s="1">
        <v>23</v>
      </c>
    </row>
    <row r="1072" spans="1:184" x14ac:dyDescent="0.25">
      <c r="A1072" s="238" t="s">
        <v>2036</v>
      </c>
      <c r="B1072" s="84" t="s">
        <v>2163</v>
      </c>
      <c r="D1072" s="160"/>
      <c r="E1072" s="160"/>
      <c r="F1072" s="160"/>
      <c r="G1072" s="160"/>
      <c r="Q1072" s="1">
        <v>-19500</v>
      </c>
    </row>
    <row r="1073" spans="1:165" x14ac:dyDescent="0.25">
      <c r="A1073" s="238" t="s">
        <v>2036</v>
      </c>
      <c r="B1073" s="18" t="s">
        <v>2162</v>
      </c>
      <c r="D1073" s="160"/>
      <c r="E1073" s="160"/>
      <c r="F1073" s="160"/>
      <c r="G1073" s="160"/>
      <c r="DC1073" s="1">
        <v>19500</v>
      </c>
    </row>
    <row r="1074" spans="1:165" x14ac:dyDescent="0.25">
      <c r="A1074" s="213" t="s">
        <v>2036</v>
      </c>
      <c r="B1074" s="116" t="s">
        <v>462</v>
      </c>
      <c r="C1074" s="1">
        <v>-20000</v>
      </c>
      <c r="D1074" s="160" t="s">
        <v>2058</v>
      </c>
      <c r="E1074" s="160"/>
      <c r="F1074" s="160"/>
      <c r="G1074" s="160"/>
      <c r="S1074" s="1">
        <v>20000</v>
      </c>
    </row>
    <row r="1075" spans="1:165" x14ac:dyDescent="0.25">
      <c r="A1075" s="213" t="s">
        <v>2036</v>
      </c>
      <c r="B1075" s="173" t="s">
        <v>2037</v>
      </c>
      <c r="C1075" s="1">
        <v>-140000</v>
      </c>
      <c r="D1075" s="160" t="s">
        <v>2059</v>
      </c>
      <c r="E1075" s="160"/>
      <c r="F1075" s="160"/>
      <c r="G1075" s="160"/>
      <c r="DI1075" s="1">
        <v>140000</v>
      </c>
    </row>
    <row r="1076" spans="1:165" ht="14.25" customHeight="1" x14ac:dyDescent="0.25">
      <c r="A1076" s="213" t="s">
        <v>2036</v>
      </c>
      <c r="B1076" s="18" t="s">
        <v>2038</v>
      </c>
      <c r="C1076" s="1">
        <v>-398000</v>
      </c>
      <c r="D1076" s="160" t="s">
        <v>2060</v>
      </c>
      <c r="E1076" s="160"/>
      <c r="F1076" s="160"/>
      <c r="G1076" s="160"/>
      <c r="FI1076" s="1">
        <v>398000</v>
      </c>
    </row>
    <row r="1077" spans="1:165" x14ac:dyDescent="0.25">
      <c r="A1077" s="220" t="s">
        <v>2062</v>
      </c>
      <c r="B1077" s="41" t="s">
        <v>2063</v>
      </c>
      <c r="C1077" s="1">
        <v>-12500</v>
      </c>
      <c r="D1077" s="160" t="s">
        <v>2061</v>
      </c>
      <c r="E1077" s="160"/>
      <c r="F1077" s="160"/>
      <c r="G1077" s="160"/>
      <c r="DE1077" s="1">
        <v>12500</v>
      </c>
    </row>
    <row r="1078" spans="1:165" x14ac:dyDescent="0.25">
      <c r="A1078" s="220" t="s">
        <v>2062</v>
      </c>
      <c r="B1078" s="84" t="s">
        <v>2067</v>
      </c>
      <c r="D1078" s="160"/>
      <c r="E1078" s="160"/>
      <c r="F1078" s="160"/>
      <c r="G1078" s="160"/>
      <c r="AQ1078" s="1">
        <v>-2796050</v>
      </c>
    </row>
    <row r="1079" spans="1:165" s="7" customFormat="1" x14ac:dyDescent="0.25">
      <c r="A1079" s="11"/>
      <c r="B1079" s="41" t="s">
        <v>2069</v>
      </c>
      <c r="D1079" s="112"/>
      <c r="E1079" s="112"/>
      <c r="F1079" s="112"/>
      <c r="G1079" s="112"/>
      <c r="DS1079" s="14"/>
      <c r="DT1079" s="14"/>
      <c r="DU1079" s="14"/>
      <c r="ES1079" s="1">
        <v>2796050</v>
      </c>
    </row>
    <row r="1080" spans="1:165" x14ac:dyDescent="0.25">
      <c r="A1080" s="220" t="s">
        <v>2062</v>
      </c>
      <c r="B1080" s="84" t="s">
        <v>2068</v>
      </c>
      <c r="D1080" s="160"/>
      <c r="E1080" s="160"/>
      <c r="F1080" s="160"/>
      <c r="G1080" s="160"/>
      <c r="AI1080" s="1">
        <v>-18230</v>
      </c>
    </row>
    <row r="1081" spans="1:165" x14ac:dyDescent="0.25">
      <c r="A1081" s="220"/>
      <c r="B1081" s="41" t="s">
        <v>2070</v>
      </c>
      <c r="D1081" s="160"/>
      <c r="E1081" s="160"/>
      <c r="F1081" s="160"/>
      <c r="G1081" s="160"/>
      <c r="FE1081" s="1">
        <v>10000</v>
      </c>
    </row>
    <row r="1082" spans="1:165" x14ac:dyDescent="0.25">
      <c r="A1082" s="220"/>
      <c r="B1082" s="41" t="s">
        <v>2071</v>
      </c>
      <c r="D1082" s="160"/>
      <c r="E1082" s="160"/>
      <c r="F1082" s="160"/>
      <c r="G1082" s="160"/>
      <c r="EL1082" s="1">
        <v>8230</v>
      </c>
    </row>
    <row r="1083" spans="1:165" x14ac:dyDescent="0.25">
      <c r="A1083" s="223" t="s">
        <v>2062</v>
      </c>
      <c r="B1083" s="84" t="s">
        <v>2090</v>
      </c>
      <c r="D1083" s="160"/>
      <c r="E1083" s="160"/>
      <c r="F1083" s="160"/>
      <c r="G1083" s="160"/>
      <c r="AW1083" s="1">
        <v>-333500</v>
      </c>
    </row>
    <row r="1084" spans="1:165" x14ac:dyDescent="0.25">
      <c r="A1084" s="223"/>
      <c r="B1084" s="41" t="s">
        <v>2089</v>
      </c>
      <c r="D1084" s="160"/>
      <c r="E1084" s="160"/>
      <c r="F1084" s="160"/>
      <c r="G1084" s="160"/>
      <c r="EI1084" s="1">
        <f>39000+39000+140000+115000+250+250</f>
        <v>333500</v>
      </c>
    </row>
    <row r="1085" spans="1:165" x14ac:dyDescent="0.25">
      <c r="A1085" s="223" t="s">
        <v>2062</v>
      </c>
      <c r="B1085" s="84" t="s">
        <v>2091</v>
      </c>
      <c r="D1085" s="160"/>
      <c r="E1085" s="160"/>
      <c r="F1085" s="160"/>
      <c r="G1085" s="160"/>
      <c r="AP1085" s="1">
        <v>-220000</v>
      </c>
    </row>
    <row r="1086" spans="1:165" x14ac:dyDescent="0.25">
      <c r="A1086" s="223"/>
      <c r="B1086" s="41" t="s">
        <v>2196</v>
      </c>
      <c r="D1086" s="160"/>
      <c r="E1086" s="160"/>
      <c r="F1086" s="160"/>
      <c r="G1086" s="160"/>
      <c r="EI1086" s="1">
        <v>220000</v>
      </c>
    </row>
    <row r="1087" spans="1:165" x14ac:dyDescent="0.25">
      <c r="A1087" s="223" t="s">
        <v>2062</v>
      </c>
      <c r="B1087" s="84" t="s">
        <v>2092</v>
      </c>
      <c r="D1087" s="160"/>
      <c r="E1087" s="160"/>
      <c r="F1087" s="160"/>
      <c r="G1087" s="160"/>
      <c r="AX1087" s="1">
        <v>-220000</v>
      </c>
    </row>
    <row r="1088" spans="1:165" x14ac:dyDescent="0.25">
      <c r="A1088" s="223"/>
      <c r="B1088" s="41" t="s">
        <v>2093</v>
      </c>
      <c r="D1088" s="160"/>
      <c r="E1088" s="160"/>
      <c r="F1088" s="160"/>
      <c r="G1088" s="160"/>
      <c r="EB1088" s="1">
        <v>220000</v>
      </c>
    </row>
    <row r="1089" spans="1:149" x14ac:dyDescent="0.25">
      <c r="A1089" s="238" t="s">
        <v>2062</v>
      </c>
      <c r="B1089" s="84" t="s">
        <v>2139</v>
      </c>
      <c r="D1089" s="160"/>
      <c r="E1089" s="160"/>
      <c r="F1089" s="160"/>
      <c r="G1089" s="160"/>
      <c r="AY1089" s="1">
        <v>-185000</v>
      </c>
    </row>
    <row r="1090" spans="1:149" x14ac:dyDescent="0.25">
      <c r="A1090" s="238"/>
      <c r="B1090" s="41" t="s">
        <v>2140</v>
      </c>
      <c r="D1090" s="160"/>
      <c r="E1090" s="160"/>
      <c r="F1090" s="160"/>
      <c r="G1090" s="160"/>
      <c r="DU1090" s="65">
        <v>185000</v>
      </c>
    </row>
    <row r="1091" spans="1:149" x14ac:dyDescent="0.25">
      <c r="A1091" s="238" t="s">
        <v>2062</v>
      </c>
      <c r="B1091" s="84" t="s">
        <v>2144</v>
      </c>
      <c r="D1091" s="160"/>
      <c r="E1091" s="160"/>
      <c r="F1091" s="160"/>
      <c r="G1091" s="160"/>
      <c r="AH1091" s="1">
        <v>-1533000</v>
      </c>
    </row>
    <row r="1092" spans="1:149" x14ac:dyDescent="0.25">
      <c r="A1092" s="238"/>
      <c r="B1092" s="41" t="s">
        <v>2145</v>
      </c>
      <c r="D1092" s="160"/>
      <c r="E1092" s="160"/>
      <c r="F1092" s="160"/>
      <c r="G1092" s="160"/>
      <c r="DT1092" s="65">
        <v>1533000</v>
      </c>
    </row>
    <row r="1093" spans="1:149" x14ac:dyDescent="0.25">
      <c r="A1093" s="238" t="s">
        <v>2062</v>
      </c>
      <c r="B1093" s="84" t="s">
        <v>2147</v>
      </c>
      <c r="D1093" s="160"/>
      <c r="E1093" s="160"/>
      <c r="F1093" s="160"/>
      <c r="G1093" s="160"/>
      <c r="AV1093" s="1">
        <v>-2331000</v>
      </c>
    </row>
    <row r="1094" spans="1:149" x14ac:dyDescent="0.25">
      <c r="A1094" s="238"/>
      <c r="B1094" s="41" t="s">
        <v>2146</v>
      </c>
      <c r="D1094" s="160"/>
      <c r="E1094" s="160"/>
      <c r="F1094" s="160"/>
      <c r="G1094" s="160"/>
      <c r="ES1094" s="1">
        <v>2331000</v>
      </c>
    </row>
    <row r="1095" spans="1:149" x14ac:dyDescent="0.25">
      <c r="A1095" s="238" t="s">
        <v>2062</v>
      </c>
      <c r="B1095" s="84" t="s">
        <v>2149</v>
      </c>
      <c r="D1095" s="160"/>
      <c r="E1095" s="160"/>
      <c r="F1095" s="160"/>
      <c r="G1095" s="160"/>
      <c r="AJ1095" s="1">
        <v>-2000</v>
      </c>
    </row>
    <row r="1096" spans="1:149" x14ac:dyDescent="0.25">
      <c r="A1096" s="238"/>
      <c r="B1096" s="41" t="s">
        <v>2148</v>
      </c>
      <c r="D1096" s="160"/>
      <c r="E1096" s="160"/>
      <c r="F1096" s="160"/>
      <c r="G1096" s="160"/>
      <c r="DW1096" s="1">
        <v>2000</v>
      </c>
    </row>
    <row r="1097" spans="1:149" x14ac:dyDescent="0.25">
      <c r="A1097" s="238" t="s">
        <v>2062</v>
      </c>
      <c r="B1097" s="84" t="s">
        <v>2150</v>
      </c>
      <c r="D1097" s="160"/>
      <c r="E1097" s="160"/>
      <c r="F1097" s="160"/>
      <c r="G1097" s="160"/>
      <c r="BD1097" s="1">
        <v>-1797500</v>
      </c>
    </row>
    <row r="1098" spans="1:149" x14ac:dyDescent="0.25">
      <c r="A1098" s="238"/>
      <c r="B1098" s="41" t="s">
        <v>2151</v>
      </c>
      <c r="D1098" s="160"/>
      <c r="E1098" s="160"/>
      <c r="F1098" s="160"/>
      <c r="G1098" s="160"/>
      <c r="EN1098" s="1">
        <v>1797500</v>
      </c>
    </row>
    <row r="1099" spans="1:149" x14ac:dyDescent="0.25">
      <c r="A1099" s="240" t="s">
        <v>2062</v>
      </c>
      <c r="B1099" s="84" t="s">
        <v>2194</v>
      </c>
      <c r="D1099" s="160"/>
      <c r="E1099" s="160"/>
      <c r="F1099" s="160"/>
      <c r="G1099" s="160"/>
    </row>
    <row r="1100" spans="1:149" x14ac:dyDescent="0.25">
      <c r="A1100" s="240"/>
      <c r="B1100" s="41" t="s">
        <v>2195</v>
      </c>
      <c r="D1100" s="160"/>
      <c r="E1100" s="160"/>
      <c r="F1100" s="160"/>
      <c r="G1100" s="160"/>
      <c r="AO1100" s="1">
        <v>-263444</v>
      </c>
      <c r="EI1100" s="1">
        <f>52000+56088+55500+51384+32220+13452+2800</f>
        <v>263444</v>
      </c>
    </row>
    <row r="1101" spans="1:149" x14ac:dyDescent="0.25">
      <c r="A1101" s="240" t="s">
        <v>2062</v>
      </c>
      <c r="B1101" s="84" t="s">
        <v>2200</v>
      </c>
      <c r="D1101" s="160"/>
      <c r="E1101" s="160"/>
      <c r="F1101" s="160"/>
      <c r="G1101" s="160"/>
      <c r="AU1101" s="1">
        <v>-806000</v>
      </c>
    </row>
    <row r="1102" spans="1:149" x14ac:dyDescent="0.25">
      <c r="A1102" s="240"/>
      <c r="B1102" s="41" t="s">
        <v>2201</v>
      </c>
      <c r="D1102" s="160"/>
      <c r="E1102" s="160"/>
      <c r="F1102" s="160"/>
      <c r="G1102" s="160"/>
      <c r="ES1102" s="1">
        <v>806000</v>
      </c>
    </row>
    <row r="1103" spans="1:149" ht="15.75" customHeight="1" x14ac:dyDescent="0.25">
      <c r="A1103" s="220" t="s">
        <v>2066</v>
      </c>
      <c r="B1103" s="18" t="s">
        <v>2097</v>
      </c>
      <c r="C1103" s="1">
        <v>-5000</v>
      </c>
      <c r="D1103" s="160" t="s">
        <v>2080</v>
      </c>
      <c r="E1103" s="160"/>
      <c r="F1103" s="160"/>
      <c r="G1103" s="160"/>
      <c r="AC1103" s="1">
        <v>5000</v>
      </c>
    </row>
    <row r="1104" spans="1:149" x14ac:dyDescent="0.25">
      <c r="A1104" s="220" t="s">
        <v>2066</v>
      </c>
      <c r="B1104" s="18" t="s">
        <v>1994</v>
      </c>
      <c r="C1104" s="1">
        <v>-23</v>
      </c>
      <c r="D1104" s="160" t="s">
        <v>2081</v>
      </c>
      <c r="E1104" s="160"/>
      <c r="F1104" s="160"/>
      <c r="G1104" s="160"/>
      <c r="EP1104" s="1">
        <v>23</v>
      </c>
    </row>
    <row r="1105" spans="1:184" x14ac:dyDescent="0.25">
      <c r="A1105" s="227" t="s">
        <v>2094</v>
      </c>
      <c r="B1105" s="18" t="s">
        <v>2096</v>
      </c>
      <c r="C1105" s="1">
        <v>-5000</v>
      </c>
      <c r="D1105" s="160" t="s">
        <v>2104</v>
      </c>
      <c r="E1105" s="160"/>
      <c r="F1105" s="160"/>
      <c r="G1105" s="160"/>
      <c r="V1105" s="1">
        <v>5000</v>
      </c>
    </row>
    <row r="1106" spans="1:184" x14ac:dyDescent="0.25">
      <c r="A1106" s="227" t="s">
        <v>2094</v>
      </c>
      <c r="B1106" s="18" t="s">
        <v>2097</v>
      </c>
      <c r="C1106" s="1">
        <v>-5000</v>
      </c>
      <c r="D1106" s="160" t="s">
        <v>2105</v>
      </c>
      <c r="E1106" s="160"/>
      <c r="F1106" s="160"/>
      <c r="G1106" s="160"/>
      <c r="AC1106" s="1">
        <v>5000</v>
      </c>
    </row>
    <row r="1107" spans="1:184" x14ac:dyDescent="0.25">
      <c r="A1107" s="240" t="s">
        <v>2094</v>
      </c>
      <c r="B1107" s="84" t="s">
        <v>2202</v>
      </c>
      <c r="D1107" s="160"/>
      <c r="E1107" s="160"/>
      <c r="F1107" s="160"/>
      <c r="G1107" s="160"/>
      <c r="AC1107" s="1">
        <v>-278915</v>
      </c>
    </row>
    <row r="1108" spans="1:184" x14ac:dyDescent="0.25">
      <c r="A1108" s="240"/>
      <c r="B1108" s="18" t="s">
        <v>2205</v>
      </c>
      <c r="D1108" s="160"/>
      <c r="E1108" s="160"/>
      <c r="F1108" s="160"/>
      <c r="G1108" s="160"/>
      <c r="EK1108" s="1">
        <f>30+20+30+60+50+30+50+30+60+20+60+200+30+30+30+550+60+60+200+200+60+30+240+30+100+150+150+500+200+143+460+840+75+820+30+200+35+200+230+30+60+60+200+185+2500+190+310+200+30+228+150+240+360+270+300+300+360+240+180+120+30+275</f>
        <v>13111</v>
      </c>
    </row>
    <row r="1109" spans="1:184" x14ac:dyDescent="0.25">
      <c r="A1109" s="240"/>
      <c r="B1109" s="18" t="s">
        <v>2206</v>
      </c>
      <c r="D1109" s="160"/>
      <c r="E1109" s="160"/>
      <c r="F1109" s="160"/>
      <c r="G1109" s="160"/>
      <c r="FE1109" s="1">
        <f>400+3150+1000+3500+500+175+3000+420+70+210+235+150+3000+370+2000+364+20+60+3000+480+3000+370+1000+320+1000+345+1500+390+2500+260+120+200+1240+300+3500+220+120+1000+220+120+3600+220+823+160+120+90+140+2663+818+165+105+2158+130+1238+2183+693+918+1933+1323+30+2058+1298+70+643+200+2005+748+813+1883+710+2205+875+583+946+3393+430+450+850+475+1970+495+678</f>
        <v>83117</v>
      </c>
    </row>
    <row r="1110" spans="1:184" x14ac:dyDescent="0.25">
      <c r="A1110" s="240"/>
      <c r="B1110" s="18" t="s">
        <v>2207</v>
      </c>
      <c r="D1110" s="160"/>
      <c r="E1110" s="160"/>
      <c r="F1110" s="160"/>
      <c r="G1110" s="160"/>
      <c r="EQ1110" s="1">
        <f>50+100+1000+50+50+110+1000+400+1200+100+100</f>
        <v>4160</v>
      </c>
    </row>
    <row r="1111" spans="1:184" x14ac:dyDescent="0.25">
      <c r="A1111" s="240"/>
      <c r="B1111" s="18" t="s">
        <v>2208</v>
      </c>
      <c r="D1111" s="160"/>
      <c r="E1111" s="160"/>
      <c r="F1111" s="160"/>
      <c r="G1111" s="160"/>
      <c r="FA1111" s="1">
        <f>264+277</f>
        <v>541</v>
      </c>
      <c r="FC1111" s="1">
        <f>320+800+440+2800+255+56+2900+230+30+220+2550+1180</f>
        <v>11781</v>
      </c>
    </row>
    <row r="1112" spans="1:184" x14ac:dyDescent="0.25">
      <c r="A1112" s="240"/>
      <c r="B1112" s="18" t="s">
        <v>2209</v>
      </c>
      <c r="D1112" s="160"/>
      <c r="E1112" s="160"/>
      <c r="F1112" s="160"/>
      <c r="G1112" s="160"/>
      <c r="ES1112" s="1">
        <f>1000+200+1000+1000+500+390+1000+1000+980+1000</f>
        <v>8070</v>
      </c>
    </row>
    <row r="1113" spans="1:184" x14ac:dyDescent="0.25">
      <c r="A1113" s="240"/>
      <c r="B1113" s="18" t="s">
        <v>2210</v>
      </c>
      <c r="D1113" s="160"/>
      <c r="E1113" s="160"/>
      <c r="F1113" s="160"/>
      <c r="G1113" s="160"/>
      <c r="EA1113" s="1">
        <f>2300+2200</f>
        <v>4500</v>
      </c>
    </row>
    <row r="1114" spans="1:184" x14ac:dyDescent="0.25">
      <c r="A1114" s="240"/>
      <c r="B1114" s="18" t="s">
        <v>2211</v>
      </c>
      <c r="D1114" s="160"/>
      <c r="E1114" s="160"/>
      <c r="F1114" s="160"/>
      <c r="G1114" s="160"/>
      <c r="ER1114" s="1">
        <f>350+480+1800+800+20+400+5500+50+300+400+3000+7000+2000+100</f>
        <v>22200</v>
      </c>
    </row>
    <row r="1115" spans="1:184" x14ac:dyDescent="0.25">
      <c r="A1115" s="240"/>
      <c r="B1115" s="18" t="s">
        <v>2212</v>
      </c>
      <c r="D1115" s="160"/>
      <c r="E1115" s="160"/>
      <c r="F1115" s="160"/>
      <c r="G1115" s="160"/>
      <c r="FL1115" s="1">
        <f>180+30</f>
        <v>210</v>
      </c>
    </row>
    <row r="1116" spans="1:184" x14ac:dyDescent="0.25">
      <c r="A1116" s="240"/>
      <c r="B1116" s="18" t="s">
        <v>2213</v>
      </c>
      <c r="D1116" s="160"/>
      <c r="E1116" s="160"/>
      <c r="F1116" s="160"/>
      <c r="G1116" s="160"/>
      <c r="GA1116" s="1">
        <f>500+10000+1000+11000</f>
        <v>22500</v>
      </c>
    </row>
    <row r="1117" spans="1:184" x14ac:dyDescent="0.25">
      <c r="A1117" s="240"/>
      <c r="B1117" s="18" t="s">
        <v>2214</v>
      </c>
      <c r="D1117" s="160"/>
      <c r="E1117" s="160"/>
      <c r="F1117" s="160"/>
      <c r="G1117" s="160"/>
      <c r="GB1117" s="1">
        <f>750+750+3825+750+1070+1070+3825+1070+1070+1060+1060</f>
        <v>16300</v>
      </c>
    </row>
    <row r="1118" spans="1:184" x14ac:dyDescent="0.25">
      <c r="A1118" s="240"/>
      <c r="B1118" s="18" t="s">
        <v>2215</v>
      </c>
      <c r="D1118" s="160"/>
      <c r="E1118" s="160"/>
      <c r="F1118" s="160"/>
      <c r="G1118" s="160"/>
      <c r="FK1118" s="1">
        <f>800+1200+900+800+1200+1000+900</f>
        <v>6800</v>
      </c>
    </row>
    <row r="1119" spans="1:184" x14ac:dyDescent="0.25">
      <c r="A1119" s="240"/>
      <c r="B1119" s="18" t="s">
        <v>2216</v>
      </c>
      <c r="D1119" s="160"/>
      <c r="E1119" s="160"/>
      <c r="F1119" s="160"/>
      <c r="G1119" s="160"/>
      <c r="EM1119" s="1">
        <f>10000+400+1000</f>
        <v>11400</v>
      </c>
    </row>
    <row r="1120" spans="1:184" x14ac:dyDescent="0.25">
      <c r="A1120" s="240"/>
      <c r="B1120" s="18" t="s">
        <v>2217</v>
      </c>
      <c r="D1120" s="160"/>
      <c r="E1120" s="160"/>
      <c r="F1120" s="160"/>
      <c r="G1120" s="160"/>
      <c r="EJ1120" s="1">
        <f>18000+25000+3000+19460</f>
        <v>65460</v>
      </c>
    </row>
    <row r="1121" spans="1:182" x14ac:dyDescent="0.25">
      <c r="A1121" s="240"/>
      <c r="B1121" s="18" t="s">
        <v>2218</v>
      </c>
      <c r="D1121" s="160"/>
      <c r="E1121" s="160"/>
      <c r="F1121" s="160"/>
      <c r="G1121" s="160"/>
      <c r="DW1121" s="1">
        <f>2500+500+1500</f>
        <v>4500</v>
      </c>
    </row>
    <row r="1122" spans="1:182" x14ac:dyDescent="0.25">
      <c r="A1122" s="240"/>
      <c r="B1122" s="18" t="s">
        <v>703</v>
      </c>
      <c r="D1122" s="160"/>
      <c r="E1122" s="160"/>
      <c r="F1122" s="160"/>
      <c r="G1122" s="160"/>
    </row>
    <row r="1123" spans="1:182" x14ac:dyDescent="0.25">
      <c r="A1123" s="240"/>
      <c r="B1123" s="18" t="s">
        <v>2219</v>
      </c>
      <c r="D1123" s="160"/>
      <c r="E1123" s="160"/>
      <c r="F1123" s="160"/>
      <c r="G1123" s="160"/>
      <c r="V1123" s="1">
        <v>2000</v>
      </c>
    </row>
    <row r="1124" spans="1:182" x14ac:dyDescent="0.25">
      <c r="A1124" s="240"/>
      <c r="B1124" s="18" t="s">
        <v>2220</v>
      </c>
      <c r="D1124" s="160"/>
      <c r="E1124" s="160"/>
      <c r="F1124" s="160"/>
      <c r="G1124" s="160"/>
      <c r="X1124" s="1">
        <v>500</v>
      </c>
    </row>
    <row r="1125" spans="1:182" x14ac:dyDescent="0.25">
      <c r="A1125" s="240"/>
      <c r="B1125" s="18" t="s">
        <v>2221</v>
      </c>
      <c r="D1125" s="160"/>
      <c r="E1125" s="160"/>
      <c r="F1125" s="160"/>
      <c r="G1125" s="160"/>
      <c r="Q1125" s="1">
        <v>1000</v>
      </c>
    </row>
    <row r="1126" spans="1:182" x14ac:dyDescent="0.25">
      <c r="A1126" s="240"/>
      <c r="B1126" s="18" t="s">
        <v>2222</v>
      </c>
      <c r="D1126" s="160"/>
      <c r="E1126" s="160"/>
      <c r="F1126" s="160"/>
      <c r="G1126" s="160"/>
      <c r="FZ1126" s="1">
        <v>150</v>
      </c>
    </row>
    <row r="1127" spans="1:182" x14ac:dyDescent="0.25">
      <c r="A1127" s="240"/>
      <c r="B1127" s="18" t="s">
        <v>2223</v>
      </c>
      <c r="D1127" s="160"/>
      <c r="E1127" s="160"/>
      <c r="F1127" s="160"/>
      <c r="G1127" s="160"/>
      <c r="EG1127" s="1">
        <f>555</f>
        <v>555</v>
      </c>
    </row>
    <row r="1128" spans="1:182" x14ac:dyDescent="0.25">
      <c r="A1128" s="240"/>
      <c r="B1128" s="18" t="s">
        <v>1716</v>
      </c>
      <c r="D1128" s="160"/>
      <c r="E1128" s="160"/>
      <c r="F1128" s="160"/>
      <c r="G1128" s="160"/>
      <c r="EP1128" s="1">
        <v>60</v>
      </c>
    </row>
    <row r="1129" spans="1:182" x14ac:dyDescent="0.25">
      <c r="A1129" s="227" t="s">
        <v>2094</v>
      </c>
      <c r="B1129" s="18" t="s">
        <v>1994</v>
      </c>
      <c r="C1129" s="1">
        <v>-23</v>
      </c>
      <c r="D1129" s="160" t="s">
        <v>2106</v>
      </c>
      <c r="E1129" s="160"/>
      <c r="F1129" s="160"/>
      <c r="G1129" s="160"/>
      <c r="EP1129" s="1">
        <v>23</v>
      </c>
    </row>
    <row r="1130" spans="1:182" x14ac:dyDescent="0.25">
      <c r="A1130" s="227" t="s">
        <v>2094</v>
      </c>
      <c r="B1130" s="18" t="s">
        <v>2098</v>
      </c>
      <c r="C1130" s="1">
        <v>-49640</v>
      </c>
      <c r="D1130" s="160" t="s">
        <v>2107</v>
      </c>
      <c r="E1130" s="160"/>
      <c r="F1130" s="160"/>
      <c r="G1130" s="160"/>
      <c r="DP1130" s="1">
        <v>49640</v>
      </c>
    </row>
    <row r="1131" spans="1:182" x14ac:dyDescent="0.25">
      <c r="A1131" s="227" t="s">
        <v>2094</v>
      </c>
      <c r="B1131" s="18" t="s">
        <v>2099</v>
      </c>
      <c r="C1131" s="1">
        <v>-15360</v>
      </c>
      <c r="D1131" s="160" t="s">
        <v>2108</v>
      </c>
      <c r="E1131" s="160"/>
      <c r="F1131" s="160"/>
      <c r="G1131" s="160"/>
      <c r="FD1131" s="1">
        <v>15360</v>
      </c>
    </row>
    <row r="1132" spans="1:182" x14ac:dyDescent="0.25">
      <c r="A1132" s="241" t="s">
        <v>2109</v>
      </c>
      <c r="B1132" s="84" t="s">
        <v>2110</v>
      </c>
      <c r="C1132" s="1">
        <v>-3312</v>
      </c>
      <c r="D1132" s="160" t="s">
        <v>2115</v>
      </c>
      <c r="E1132" s="160"/>
      <c r="F1132" s="160"/>
      <c r="G1132" s="160"/>
      <c r="BH1132" s="1">
        <v>-3000</v>
      </c>
    </row>
    <row r="1133" spans="1:182" x14ac:dyDescent="0.25">
      <c r="A1133" s="229" t="s">
        <v>2109</v>
      </c>
      <c r="B1133" s="18" t="s">
        <v>2111</v>
      </c>
      <c r="D1133" s="160"/>
      <c r="E1133" s="160"/>
      <c r="F1133" s="160"/>
      <c r="G1133" s="160"/>
      <c r="EK1133" s="1">
        <v>1156</v>
      </c>
    </row>
    <row r="1134" spans="1:182" x14ac:dyDescent="0.25">
      <c r="A1134" s="229" t="s">
        <v>2109</v>
      </c>
      <c r="B1134" s="18" t="s">
        <v>2112</v>
      </c>
      <c r="D1134" s="160"/>
      <c r="E1134" s="160"/>
      <c r="F1134" s="160"/>
      <c r="G1134" s="160"/>
      <c r="FE1134" s="1">
        <v>4200</v>
      </c>
    </row>
    <row r="1135" spans="1:182" x14ac:dyDescent="0.25">
      <c r="A1135" s="229" t="s">
        <v>2109</v>
      </c>
      <c r="B1135" s="18" t="s">
        <v>2113</v>
      </c>
      <c r="D1135" s="160"/>
      <c r="E1135" s="160"/>
      <c r="F1135" s="160"/>
      <c r="G1135" s="160"/>
      <c r="FL1135" s="1">
        <v>876</v>
      </c>
    </row>
    <row r="1136" spans="1:182" x14ac:dyDescent="0.25">
      <c r="A1136" s="229" t="s">
        <v>2109</v>
      </c>
      <c r="B1136" s="18" t="s">
        <v>2114</v>
      </c>
      <c r="D1136" s="160"/>
      <c r="E1136" s="160"/>
      <c r="F1136" s="160"/>
      <c r="G1136" s="160"/>
      <c r="FR1136" s="1">
        <v>80</v>
      </c>
    </row>
    <row r="1137" spans="1:174" x14ac:dyDescent="0.25">
      <c r="A1137" s="229" t="s">
        <v>2109</v>
      </c>
      <c r="B1137" s="18" t="s">
        <v>2116</v>
      </c>
      <c r="C1137" s="1">
        <v>-605</v>
      </c>
      <c r="D1137" s="160" t="s">
        <v>2117</v>
      </c>
      <c r="E1137" s="160"/>
      <c r="F1137" s="160"/>
      <c r="G1137" s="160"/>
      <c r="EK1137" s="1">
        <v>605</v>
      </c>
    </row>
    <row r="1138" spans="1:174" x14ac:dyDescent="0.25">
      <c r="A1138" s="229" t="s">
        <v>2109</v>
      </c>
      <c r="B1138" s="18" t="s">
        <v>2118</v>
      </c>
      <c r="C1138" s="1">
        <f>-15000-15000-25000-5000-16000</f>
        <v>-76000</v>
      </c>
      <c r="D1138" s="160" t="s">
        <v>2119</v>
      </c>
      <c r="E1138" s="160"/>
      <c r="F1138" s="160"/>
      <c r="G1138" s="160"/>
      <c r="DC1138" s="1">
        <v>76000</v>
      </c>
    </row>
    <row r="1139" spans="1:174" x14ac:dyDescent="0.25">
      <c r="A1139" s="229" t="s">
        <v>2109</v>
      </c>
      <c r="B1139" s="18" t="s">
        <v>2120</v>
      </c>
      <c r="C1139" s="1">
        <v>-40</v>
      </c>
      <c r="D1139" s="160" t="s">
        <v>2121</v>
      </c>
      <c r="E1139" s="160"/>
      <c r="F1139" s="160"/>
      <c r="G1139" s="160"/>
      <c r="CO1139" s="1">
        <v>40</v>
      </c>
    </row>
    <row r="1140" spans="1:174" s="58" customFormat="1" x14ac:dyDescent="0.25">
      <c r="A1140" s="239" t="s">
        <v>2109</v>
      </c>
      <c r="B1140" s="84" t="s">
        <v>2224</v>
      </c>
      <c r="D1140" s="237"/>
      <c r="E1140" s="237"/>
      <c r="F1140" s="237"/>
      <c r="G1140" s="237"/>
      <c r="Q1140" s="58">
        <v>-1000</v>
      </c>
      <c r="S1140" s="58">
        <v>-20000</v>
      </c>
      <c r="V1140" s="58">
        <v>-5000</v>
      </c>
      <c r="X1140" s="58">
        <v>-500</v>
      </c>
      <c r="DS1140" s="56"/>
      <c r="DT1140" s="56"/>
      <c r="DU1140" s="56"/>
    </row>
    <row r="1141" spans="1:174" x14ac:dyDescent="0.25">
      <c r="A1141" s="238"/>
      <c r="B1141" s="18" t="s">
        <v>2225</v>
      </c>
      <c r="D1141" s="160"/>
      <c r="E1141" s="160"/>
      <c r="F1141" s="160"/>
      <c r="G1141" s="160"/>
      <c r="DC1141" s="1">
        <v>20000</v>
      </c>
    </row>
    <row r="1142" spans="1:174" x14ac:dyDescent="0.25">
      <c r="A1142" s="245"/>
      <c r="B1142" s="18" t="s">
        <v>2226</v>
      </c>
      <c r="D1142" s="160"/>
      <c r="E1142" s="160"/>
      <c r="F1142" s="160"/>
      <c r="G1142" s="160"/>
      <c r="DC1142" s="1">
        <v>5000</v>
      </c>
    </row>
    <row r="1143" spans="1:174" x14ac:dyDescent="0.25">
      <c r="A1143" s="245"/>
      <c r="B1143" s="18" t="s">
        <v>2220</v>
      </c>
      <c r="D1143" s="160"/>
      <c r="E1143" s="160"/>
      <c r="F1143" s="160"/>
      <c r="G1143" s="160"/>
      <c r="DC1143" s="1">
        <v>500</v>
      </c>
    </row>
    <row r="1144" spans="1:174" x14ac:dyDescent="0.25">
      <c r="A1144" s="245"/>
      <c r="B1144" s="18" t="s">
        <v>2221</v>
      </c>
      <c r="D1144" s="160"/>
      <c r="E1144" s="160"/>
      <c r="F1144" s="160"/>
      <c r="G1144" s="160"/>
      <c r="DC1144" s="1">
        <v>1000</v>
      </c>
    </row>
    <row r="1145" spans="1:174" x14ac:dyDescent="0.25">
      <c r="A1145" s="230" t="s">
        <v>2122</v>
      </c>
      <c r="B1145" s="18" t="s">
        <v>670</v>
      </c>
      <c r="C1145" s="1">
        <v>-400000</v>
      </c>
      <c r="D1145" s="160" t="s">
        <v>2127</v>
      </c>
      <c r="E1145" s="160"/>
      <c r="F1145" s="160"/>
      <c r="G1145" s="160"/>
      <c r="AG1145" s="1">
        <v>400000</v>
      </c>
    </row>
    <row r="1146" spans="1:174" x14ac:dyDescent="0.25">
      <c r="A1146" s="230" t="s">
        <v>2122</v>
      </c>
      <c r="B1146" s="18" t="s">
        <v>2123</v>
      </c>
      <c r="C1146" s="1">
        <v>-40</v>
      </c>
      <c r="D1146" s="160" t="s">
        <v>2128</v>
      </c>
      <c r="E1146" s="160"/>
      <c r="F1146" s="160"/>
      <c r="G1146" s="160"/>
      <c r="CO1146" s="1">
        <v>40</v>
      </c>
    </row>
    <row r="1147" spans="1:174" x14ac:dyDescent="0.25">
      <c r="A1147" s="230" t="s">
        <v>2122</v>
      </c>
      <c r="B1147" s="41" t="s">
        <v>2124</v>
      </c>
      <c r="C1147" s="1">
        <v>-9000</v>
      </c>
      <c r="D1147" s="160" t="s">
        <v>2129</v>
      </c>
      <c r="E1147" s="160"/>
      <c r="F1147" s="160"/>
      <c r="G1147" s="160"/>
      <c r="CZ1147" s="1">
        <v>9000</v>
      </c>
    </row>
    <row r="1148" spans="1:174" x14ac:dyDescent="0.25">
      <c r="A1148" s="230" t="s">
        <v>2136</v>
      </c>
      <c r="B1148" s="18" t="s">
        <v>2135</v>
      </c>
      <c r="C1148" s="1">
        <v>-3000</v>
      </c>
      <c r="D1148" s="160" t="s">
        <v>2137</v>
      </c>
      <c r="E1148" s="160"/>
      <c r="F1148" s="160"/>
      <c r="G1148" s="160"/>
      <c r="EJ1148" s="1">
        <v>3000</v>
      </c>
    </row>
    <row r="1149" spans="1:174" x14ac:dyDescent="0.25">
      <c r="A1149" s="232" t="s">
        <v>2136</v>
      </c>
      <c r="B1149" s="18" t="s">
        <v>2134</v>
      </c>
      <c r="C1149" s="1">
        <v>-60</v>
      </c>
      <c r="D1149" s="160" t="s">
        <v>2138</v>
      </c>
      <c r="E1149" s="160"/>
      <c r="F1149" s="160"/>
      <c r="G1149" s="160"/>
      <c r="EY1149" s="1">
        <v>60</v>
      </c>
    </row>
    <row r="1150" spans="1:174" x14ac:dyDescent="0.25">
      <c r="A1150" s="240" t="s">
        <v>2197</v>
      </c>
      <c r="B1150" s="18" t="s">
        <v>2198</v>
      </c>
      <c r="C1150" s="1">
        <v>-250000</v>
      </c>
      <c r="D1150" s="160" t="s">
        <v>2199</v>
      </c>
      <c r="E1150" s="160"/>
      <c r="F1150" s="160"/>
      <c r="G1150" s="160"/>
      <c r="AG1150" s="1">
        <v>250000</v>
      </c>
    </row>
    <row r="1151" spans="1:174" x14ac:dyDescent="0.25">
      <c r="A1151" s="247" t="s">
        <v>2227</v>
      </c>
      <c r="B1151" s="7" t="s">
        <v>2228</v>
      </c>
      <c r="C1151" s="1">
        <v>-6000</v>
      </c>
      <c r="D1151" s="160"/>
      <c r="E1151" s="160">
        <v>6000</v>
      </c>
      <c r="F1151" s="160"/>
      <c r="G1151" s="160"/>
    </row>
    <row r="1152" spans="1:174" x14ac:dyDescent="0.25">
      <c r="A1152" s="250" t="s">
        <v>2231</v>
      </c>
      <c r="B1152" s="15" t="s">
        <v>2232</v>
      </c>
      <c r="C1152" s="1">
        <v>-23443</v>
      </c>
      <c r="D1152" s="160" t="s">
        <v>2235</v>
      </c>
      <c r="E1152" s="160"/>
      <c r="F1152" s="160"/>
      <c r="G1152" s="160"/>
      <c r="FR1152" s="1">
        <v>23443</v>
      </c>
    </row>
    <row r="1153" spans="1:238" x14ac:dyDescent="0.25">
      <c r="A1153" s="250" t="s">
        <v>2231</v>
      </c>
      <c r="B1153" s="7" t="s">
        <v>2228</v>
      </c>
      <c r="C1153" s="1">
        <v>-6000</v>
      </c>
      <c r="D1153" s="160"/>
      <c r="E1153" s="160">
        <v>6000</v>
      </c>
      <c r="F1153" s="160"/>
      <c r="G1153" s="160"/>
    </row>
    <row r="1154" spans="1:238" x14ac:dyDescent="0.25">
      <c r="A1154" s="251" t="s">
        <v>2236</v>
      </c>
      <c r="B1154" s="7" t="s">
        <v>2238</v>
      </c>
      <c r="C1154" s="1">
        <v>-3060</v>
      </c>
      <c r="D1154" s="160"/>
      <c r="E1154" s="160"/>
      <c r="F1154" s="160"/>
      <c r="G1154" s="160"/>
      <c r="AC1154" s="1">
        <v>3060</v>
      </c>
    </row>
    <row r="1155" spans="1:238" x14ac:dyDescent="0.25">
      <c r="A1155" s="251"/>
      <c r="B1155" s="7"/>
      <c r="D1155" s="160"/>
      <c r="E1155" s="160"/>
      <c r="F1155" s="160"/>
      <c r="G1155" s="160"/>
    </row>
    <row r="1156" spans="1:238" x14ac:dyDescent="0.25">
      <c r="A1156" s="247"/>
      <c r="D1156" s="160"/>
      <c r="E1156" s="160"/>
      <c r="F1156" s="160"/>
      <c r="G1156" s="160"/>
    </row>
    <row r="1158" spans="1:238" s="3" customFormat="1" x14ac:dyDescent="0.25">
      <c r="A1158" s="243"/>
      <c r="B1158" s="85" t="s">
        <v>2230</v>
      </c>
      <c r="C1158" s="3">
        <f>SUM(C1038:C1157)</f>
        <v>14442</v>
      </c>
      <c r="D1158" s="3">
        <f t="shared" ref="D1158:BQ1158" si="44">SUM(D1038:D1157)</f>
        <v>0</v>
      </c>
      <c r="E1158" s="3">
        <f t="shared" si="44"/>
        <v>12000</v>
      </c>
      <c r="H1158" s="3">
        <f t="shared" si="44"/>
        <v>0</v>
      </c>
      <c r="I1158" s="3">
        <f t="shared" si="44"/>
        <v>0</v>
      </c>
      <c r="J1158" s="3">
        <f t="shared" si="44"/>
        <v>0</v>
      </c>
      <c r="K1158" s="3">
        <f t="shared" si="44"/>
        <v>0</v>
      </c>
      <c r="L1158" s="3">
        <f t="shared" si="44"/>
        <v>0</v>
      </c>
      <c r="M1158" s="3">
        <f t="shared" si="44"/>
        <v>0</v>
      </c>
      <c r="N1158" s="3">
        <f t="shared" si="44"/>
        <v>0</v>
      </c>
      <c r="O1158" s="3">
        <f t="shared" si="44"/>
        <v>0</v>
      </c>
      <c r="P1158" s="3">
        <f t="shared" si="44"/>
        <v>0</v>
      </c>
      <c r="Q1158" s="3">
        <f t="shared" si="44"/>
        <v>0</v>
      </c>
      <c r="R1158" s="3">
        <f t="shared" si="44"/>
        <v>0</v>
      </c>
      <c r="S1158" s="3">
        <f t="shared" si="44"/>
        <v>0</v>
      </c>
      <c r="T1158" s="3">
        <f t="shared" si="44"/>
        <v>0</v>
      </c>
      <c r="U1158" s="3">
        <f t="shared" si="44"/>
        <v>0</v>
      </c>
      <c r="V1158" s="3">
        <f t="shared" si="44"/>
        <v>0</v>
      </c>
      <c r="W1158" s="3">
        <f t="shared" si="44"/>
        <v>0</v>
      </c>
      <c r="X1158" s="3">
        <f t="shared" si="44"/>
        <v>0</v>
      </c>
      <c r="Y1158" s="3">
        <f t="shared" si="44"/>
        <v>0</v>
      </c>
      <c r="Z1158" s="3">
        <f t="shared" si="44"/>
        <v>0</v>
      </c>
      <c r="AA1158" s="3">
        <f t="shared" si="44"/>
        <v>0</v>
      </c>
      <c r="AB1158" s="3">
        <f t="shared" si="44"/>
        <v>72</v>
      </c>
      <c r="AC1158" s="3">
        <f t="shared" si="44"/>
        <v>25204</v>
      </c>
      <c r="AD1158" s="3">
        <f t="shared" si="44"/>
        <v>0</v>
      </c>
      <c r="AE1158" s="3">
        <f t="shared" si="44"/>
        <v>0</v>
      </c>
      <c r="AF1158" s="3">
        <f t="shared" si="44"/>
        <v>1212</v>
      </c>
      <c r="AG1158" s="3">
        <f t="shared" si="44"/>
        <v>3200000</v>
      </c>
      <c r="AH1158" s="3">
        <f t="shared" si="44"/>
        <v>0</v>
      </c>
      <c r="AI1158" s="3">
        <f t="shared" si="44"/>
        <v>0</v>
      </c>
      <c r="AJ1158" s="3">
        <f t="shared" si="44"/>
        <v>0</v>
      </c>
      <c r="AK1158" s="3">
        <f t="shared" si="44"/>
        <v>29000</v>
      </c>
      <c r="AL1158" s="3">
        <f t="shared" si="44"/>
        <v>49624</v>
      </c>
      <c r="AM1158" s="3">
        <f t="shared" si="44"/>
        <v>40000</v>
      </c>
      <c r="AN1158" s="3">
        <f t="shared" si="44"/>
        <v>0</v>
      </c>
      <c r="AO1158" s="3">
        <f t="shared" si="44"/>
        <v>20200</v>
      </c>
      <c r="AP1158" s="3">
        <f t="shared" si="44"/>
        <v>0</v>
      </c>
      <c r="AQ1158" s="3">
        <f t="shared" si="44"/>
        <v>0</v>
      </c>
      <c r="AR1158" s="3">
        <f t="shared" si="44"/>
        <v>59400</v>
      </c>
      <c r="AS1158" s="3">
        <f t="shared" si="44"/>
        <v>1478667</v>
      </c>
      <c r="AT1158" s="3">
        <f t="shared" si="44"/>
        <v>2400000</v>
      </c>
      <c r="AU1158" s="3">
        <f t="shared" si="44"/>
        <v>0</v>
      </c>
      <c r="AV1158" s="3">
        <f t="shared" si="44"/>
        <v>0</v>
      </c>
      <c r="AW1158" s="3">
        <f t="shared" si="44"/>
        <v>0</v>
      </c>
      <c r="AX1158" s="3">
        <f t="shared" si="44"/>
        <v>0</v>
      </c>
      <c r="AY1158" s="3">
        <f t="shared" si="44"/>
        <v>0</v>
      </c>
      <c r="AZ1158" s="3">
        <f t="shared" si="44"/>
        <v>170000</v>
      </c>
      <c r="BA1158" s="3">
        <f t="shared" si="44"/>
        <v>120000</v>
      </c>
      <c r="BB1158" s="3">
        <f t="shared" si="44"/>
        <v>53500</v>
      </c>
      <c r="BC1158" s="3">
        <f t="shared" si="44"/>
        <v>0</v>
      </c>
      <c r="BD1158" s="3">
        <f t="shared" si="44"/>
        <v>0</v>
      </c>
      <c r="BE1158" s="3">
        <f t="shared" si="44"/>
        <v>22000</v>
      </c>
      <c r="BF1158" s="3">
        <f t="shared" si="44"/>
        <v>127592</v>
      </c>
      <c r="BG1158" s="3">
        <f t="shared" si="44"/>
        <v>230000</v>
      </c>
      <c r="BH1158" s="3">
        <f t="shared" si="44"/>
        <v>0</v>
      </c>
      <c r="BI1158" s="3">
        <f t="shared" si="44"/>
        <v>0</v>
      </c>
      <c r="BJ1158" s="3">
        <f t="shared" si="44"/>
        <v>0</v>
      </c>
      <c r="BK1158" s="3">
        <f t="shared" si="44"/>
        <v>1400000</v>
      </c>
      <c r="BL1158" s="3">
        <f t="shared" si="44"/>
        <v>0</v>
      </c>
      <c r="BM1158" s="3">
        <f t="shared" si="44"/>
        <v>0</v>
      </c>
      <c r="BN1158" s="3">
        <f t="shared" si="44"/>
        <v>0</v>
      </c>
      <c r="BO1158" s="3">
        <f t="shared" si="44"/>
        <v>250000</v>
      </c>
      <c r="BP1158" s="3">
        <f t="shared" si="44"/>
        <v>0</v>
      </c>
      <c r="BQ1158" s="3">
        <f t="shared" si="44"/>
        <v>0</v>
      </c>
      <c r="BR1158" s="3">
        <f t="shared" ref="BR1158:EG1158" si="45">SUM(BR1038:BR1157)</f>
        <v>0</v>
      </c>
      <c r="BS1158" s="3">
        <f t="shared" si="45"/>
        <v>0</v>
      </c>
      <c r="BT1158" s="3">
        <f t="shared" si="45"/>
        <v>0</v>
      </c>
      <c r="BU1158" s="3">
        <f t="shared" si="45"/>
        <v>0</v>
      </c>
      <c r="BV1158" s="3">
        <f t="shared" si="45"/>
        <v>0</v>
      </c>
      <c r="BW1158" s="3">
        <f t="shared" si="45"/>
        <v>0</v>
      </c>
      <c r="BX1158" s="3">
        <f t="shared" si="45"/>
        <v>0</v>
      </c>
      <c r="BY1158" s="3">
        <f t="shared" si="45"/>
        <v>0</v>
      </c>
      <c r="BZ1158" s="3">
        <f t="shared" si="45"/>
        <v>0</v>
      </c>
      <c r="CA1158" s="3">
        <f t="shared" si="45"/>
        <v>0</v>
      </c>
      <c r="CB1158" s="3">
        <f t="shared" si="45"/>
        <v>0</v>
      </c>
      <c r="CC1158" s="3">
        <f t="shared" si="45"/>
        <v>0</v>
      </c>
      <c r="CD1158" s="3">
        <f t="shared" si="45"/>
        <v>0</v>
      </c>
      <c r="CE1158" s="3">
        <f t="shared" si="45"/>
        <v>0</v>
      </c>
      <c r="CF1158" s="3">
        <f t="shared" si="45"/>
        <v>0</v>
      </c>
      <c r="CG1158" s="3">
        <f t="shared" si="45"/>
        <v>0</v>
      </c>
      <c r="CH1158" s="3">
        <f t="shared" si="45"/>
        <v>0</v>
      </c>
      <c r="CI1158" s="3">
        <f t="shared" si="45"/>
        <v>0</v>
      </c>
      <c r="CJ1158" s="3">
        <f t="shared" si="45"/>
        <v>0</v>
      </c>
      <c r="CK1158" s="3">
        <f t="shared" si="45"/>
        <v>0</v>
      </c>
      <c r="CL1158" s="3">
        <f t="shared" si="45"/>
        <v>0</v>
      </c>
      <c r="CM1158" s="3">
        <f t="shared" si="45"/>
        <v>0</v>
      </c>
      <c r="CN1158" s="3">
        <f t="shared" si="45"/>
        <v>0</v>
      </c>
      <c r="CO1158" s="3">
        <f t="shared" si="45"/>
        <v>80</v>
      </c>
      <c r="CR1158" s="3">
        <f t="shared" si="45"/>
        <v>0</v>
      </c>
      <c r="CS1158" s="3">
        <f t="shared" si="45"/>
        <v>0</v>
      </c>
      <c r="CT1158" s="3">
        <f t="shared" si="45"/>
        <v>0</v>
      </c>
      <c r="CV1158" s="3">
        <f t="shared" si="45"/>
        <v>0</v>
      </c>
      <c r="CW1158" s="3">
        <f t="shared" si="45"/>
        <v>0</v>
      </c>
      <c r="CX1158" s="3">
        <f t="shared" si="45"/>
        <v>0</v>
      </c>
      <c r="CY1158" s="3">
        <f t="shared" si="45"/>
        <v>0</v>
      </c>
      <c r="CZ1158" s="3">
        <f t="shared" si="45"/>
        <v>9000</v>
      </c>
      <c r="DA1158" s="3">
        <f t="shared" si="45"/>
        <v>0</v>
      </c>
      <c r="DB1158" s="3">
        <f t="shared" si="45"/>
        <v>0</v>
      </c>
      <c r="DC1158" s="3">
        <f t="shared" si="45"/>
        <v>122000</v>
      </c>
      <c r="DD1158" s="3">
        <f t="shared" si="45"/>
        <v>0</v>
      </c>
      <c r="DE1158" s="3">
        <f t="shared" si="45"/>
        <v>12500</v>
      </c>
      <c r="DF1158" s="3">
        <f t="shared" si="45"/>
        <v>0</v>
      </c>
      <c r="DG1158" s="3">
        <f t="shared" si="45"/>
        <v>0</v>
      </c>
      <c r="DI1158" s="3">
        <f t="shared" si="45"/>
        <v>140000</v>
      </c>
      <c r="DJ1158" s="3">
        <f t="shared" si="45"/>
        <v>0</v>
      </c>
      <c r="DK1158" s="3">
        <f t="shared" si="45"/>
        <v>613390</v>
      </c>
      <c r="DL1158" s="3">
        <f t="shared" si="45"/>
        <v>157680</v>
      </c>
      <c r="DM1158" s="3">
        <f t="shared" si="45"/>
        <v>53700</v>
      </c>
      <c r="DN1158" s="3">
        <f t="shared" si="45"/>
        <v>27500</v>
      </c>
      <c r="DO1158" s="3">
        <f t="shared" si="45"/>
        <v>635600</v>
      </c>
      <c r="DP1158" s="3">
        <f t="shared" si="45"/>
        <v>49640</v>
      </c>
      <c r="DQ1158" s="3">
        <f t="shared" si="45"/>
        <v>0</v>
      </c>
      <c r="DR1158" s="3">
        <f t="shared" si="45"/>
        <v>0</v>
      </c>
      <c r="DS1158" s="3">
        <f t="shared" si="45"/>
        <v>0</v>
      </c>
      <c r="DT1158" s="3">
        <f t="shared" si="45"/>
        <v>1533000</v>
      </c>
      <c r="DU1158" s="3">
        <f t="shared" si="45"/>
        <v>185000</v>
      </c>
      <c r="DV1158" s="3">
        <f t="shared" si="45"/>
        <v>0</v>
      </c>
      <c r="DW1158" s="3">
        <f t="shared" si="45"/>
        <v>18500</v>
      </c>
      <c r="DX1158" s="3">
        <f t="shared" si="45"/>
        <v>0</v>
      </c>
      <c r="DY1158" s="3">
        <f t="shared" si="45"/>
        <v>0</v>
      </c>
      <c r="DZ1158" s="3">
        <f t="shared" si="45"/>
        <v>15000</v>
      </c>
      <c r="EA1158" s="3">
        <f t="shared" si="45"/>
        <v>4500</v>
      </c>
      <c r="EB1158" s="3">
        <f t="shared" si="45"/>
        <v>220000</v>
      </c>
      <c r="EC1158" s="3">
        <f t="shared" si="45"/>
        <v>0</v>
      </c>
      <c r="ED1158" s="3">
        <f t="shared" si="45"/>
        <v>0</v>
      </c>
      <c r="EE1158" s="3">
        <f t="shared" si="45"/>
        <v>0</v>
      </c>
      <c r="EF1158" s="3">
        <f t="shared" si="45"/>
        <v>0</v>
      </c>
      <c r="EG1158" s="3">
        <f t="shared" si="45"/>
        <v>555</v>
      </c>
      <c r="EH1158" s="3">
        <f t="shared" ref="EH1158:GW1158" si="46">SUM(EH1038:EH1157)</f>
        <v>0</v>
      </c>
      <c r="EI1158" s="3">
        <f t="shared" si="46"/>
        <v>816944</v>
      </c>
      <c r="EJ1158" s="3">
        <f t="shared" si="46"/>
        <v>181040</v>
      </c>
      <c r="EK1158" s="3">
        <f t="shared" si="46"/>
        <v>23210</v>
      </c>
      <c r="EL1158" s="3">
        <f t="shared" si="46"/>
        <v>16470</v>
      </c>
      <c r="EM1158" s="3">
        <f t="shared" si="46"/>
        <v>25400</v>
      </c>
      <c r="EN1158" s="3">
        <f t="shared" si="46"/>
        <v>1797500</v>
      </c>
      <c r="EO1158" s="3">
        <f t="shared" si="46"/>
        <v>0</v>
      </c>
      <c r="EP1158" s="3">
        <f t="shared" si="46"/>
        <v>233</v>
      </c>
      <c r="EQ1158" s="3">
        <f t="shared" si="46"/>
        <v>4160</v>
      </c>
      <c r="ER1158" s="3">
        <f t="shared" si="46"/>
        <v>22200</v>
      </c>
      <c r="ES1158" s="3">
        <f t="shared" si="46"/>
        <v>6185712</v>
      </c>
      <c r="ET1158" s="3">
        <f t="shared" si="46"/>
        <v>0</v>
      </c>
      <c r="EU1158" s="3">
        <f t="shared" si="46"/>
        <v>0</v>
      </c>
      <c r="EV1158" s="3">
        <f t="shared" si="46"/>
        <v>0</v>
      </c>
      <c r="EW1158" s="3">
        <f t="shared" si="46"/>
        <v>0</v>
      </c>
      <c r="EX1158" s="3">
        <f t="shared" si="46"/>
        <v>0</v>
      </c>
      <c r="EY1158" s="3">
        <f t="shared" si="46"/>
        <v>660</v>
      </c>
      <c r="EZ1158" s="3">
        <f t="shared" si="46"/>
        <v>0</v>
      </c>
      <c r="FA1158" s="3">
        <f t="shared" si="46"/>
        <v>541</v>
      </c>
      <c r="FB1158" s="3">
        <f t="shared" si="46"/>
        <v>0</v>
      </c>
      <c r="FC1158" s="3">
        <f t="shared" si="46"/>
        <v>332696</v>
      </c>
      <c r="FD1158" s="3">
        <f t="shared" si="46"/>
        <v>16060</v>
      </c>
      <c r="FE1158" s="3">
        <f t="shared" si="46"/>
        <v>133488</v>
      </c>
      <c r="FF1158" s="3">
        <f t="shared" si="46"/>
        <v>0</v>
      </c>
      <c r="FG1158" s="3">
        <f t="shared" si="46"/>
        <v>0</v>
      </c>
      <c r="FH1158" s="3">
        <f t="shared" si="46"/>
        <v>50000</v>
      </c>
      <c r="FI1158" s="3">
        <f t="shared" si="46"/>
        <v>398000</v>
      </c>
      <c r="FJ1158" s="3">
        <f t="shared" si="46"/>
        <v>45790</v>
      </c>
      <c r="FK1158" s="3">
        <f t="shared" si="46"/>
        <v>6800</v>
      </c>
      <c r="FL1158" s="3">
        <f t="shared" si="46"/>
        <v>1756</v>
      </c>
      <c r="FM1158" s="3">
        <f t="shared" si="46"/>
        <v>0</v>
      </c>
      <c r="FN1158" s="3">
        <f t="shared" si="46"/>
        <v>0</v>
      </c>
      <c r="FO1158" s="3">
        <f t="shared" si="46"/>
        <v>0</v>
      </c>
      <c r="FP1158" s="3">
        <f t="shared" si="46"/>
        <v>0</v>
      </c>
      <c r="FQ1158" s="3">
        <f t="shared" si="46"/>
        <v>0</v>
      </c>
      <c r="FR1158" s="3">
        <f t="shared" si="46"/>
        <v>23523</v>
      </c>
      <c r="FS1158" s="3">
        <f t="shared" si="46"/>
        <v>0</v>
      </c>
      <c r="FT1158" s="3">
        <f>SUM(FT1038:FT1157)</f>
        <v>0</v>
      </c>
      <c r="FU1158" s="3">
        <f t="shared" si="46"/>
        <v>0</v>
      </c>
      <c r="FV1158" s="3">
        <f t="shared" si="46"/>
        <v>0</v>
      </c>
      <c r="FW1158" s="3">
        <f t="shared" si="46"/>
        <v>0</v>
      </c>
      <c r="FX1158" s="3">
        <f t="shared" si="46"/>
        <v>0</v>
      </c>
      <c r="FY1158" s="3">
        <f t="shared" si="46"/>
        <v>0</v>
      </c>
      <c r="FZ1158" s="3">
        <f t="shared" si="46"/>
        <v>150</v>
      </c>
      <c r="GA1158" s="3">
        <f t="shared" si="46"/>
        <v>22500</v>
      </c>
      <c r="GB1158" s="3">
        <f t="shared" si="46"/>
        <v>18880</v>
      </c>
      <c r="GC1158" s="3">
        <f t="shared" si="46"/>
        <v>0</v>
      </c>
      <c r="GD1158" s="3">
        <f t="shared" si="46"/>
        <v>0</v>
      </c>
      <c r="GF1158" s="3">
        <f t="shared" si="46"/>
        <v>0</v>
      </c>
      <c r="GJ1158" s="3">
        <f t="shared" si="46"/>
        <v>0</v>
      </c>
      <c r="GK1158" s="3">
        <f t="shared" si="46"/>
        <v>0</v>
      </c>
      <c r="GL1158" s="3">
        <f t="shared" si="46"/>
        <v>0</v>
      </c>
      <c r="GM1158" s="3">
        <f t="shared" si="46"/>
        <v>0</v>
      </c>
      <c r="GN1158" s="3">
        <f t="shared" si="46"/>
        <v>0</v>
      </c>
      <c r="GO1158" s="3">
        <f t="shared" si="46"/>
        <v>0</v>
      </c>
      <c r="GP1158" s="3">
        <f t="shared" si="46"/>
        <v>0</v>
      </c>
      <c r="GR1158" s="3">
        <f t="shared" si="46"/>
        <v>0</v>
      </c>
      <c r="GS1158" s="3">
        <f t="shared" si="46"/>
        <v>0</v>
      </c>
      <c r="GT1158" s="3">
        <f t="shared" si="46"/>
        <v>0</v>
      </c>
      <c r="GU1158" s="3">
        <f t="shared" si="46"/>
        <v>0</v>
      </c>
      <c r="GV1158" s="3">
        <f t="shared" si="46"/>
        <v>0</v>
      </c>
      <c r="GW1158" s="3">
        <f t="shared" si="46"/>
        <v>0</v>
      </c>
      <c r="GX1158" s="3">
        <f t="shared" ref="GX1158:ID1158" si="47">SUM(GX1038:GX1157)</f>
        <v>0</v>
      </c>
      <c r="GY1158" s="3">
        <f t="shared" si="47"/>
        <v>0</v>
      </c>
      <c r="GZ1158" s="3">
        <f t="shared" si="47"/>
        <v>0</v>
      </c>
      <c r="HA1158" s="3">
        <f t="shared" si="47"/>
        <v>0</v>
      </c>
      <c r="HB1158" s="3">
        <f t="shared" si="47"/>
        <v>0</v>
      </c>
      <c r="HC1158" s="3">
        <f t="shared" si="47"/>
        <v>0</v>
      </c>
      <c r="HD1158" s="3">
        <f t="shared" si="47"/>
        <v>0</v>
      </c>
      <c r="HE1158" s="3">
        <f t="shared" si="47"/>
        <v>0</v>
      </c>
      <c r="HF1158" s="3">
        <f t="shared" si="47"/>
        <v>0</v>
      </c>
      <c r="HG1158" s="3">
        <f t="shared" si="47"/>
        <v>0</v>
      </c>
      <c r="HH1158" s="3">
        <f t="shared" si="47"/>
        <v>0</v>
      </c>
      <c r="HI1158" s="3">
        <f t="shared" si="47"/>
        <v>0</v>
      </c>
      <c r="HJ1158" s="3">
        <f t="shared" si="47"/>
        <v>0</v>
      </c>
      <c r="HK1158" s="3">
        <f t="shared" si="47"/>
        <v>0</v>
      </c>
      <c r="HL1158" s="3">
        <f t="shared" si="47"/>
        <v>0</v>
      </c>
      <c r="HM1158" s="3">
        <f t="shared" si="47"/>
        <v>0</v>
      </c>
      <c r="HN1158" s="3">
        <f t="shared" si="47"/>
        <v>0</v>
      </c>
      <c r="HO1158" s="3">
        <f t="shared" si="47"/>
        <v>0</v>
      </c>
      <c r="HP1158" s="3">
        <f t="shared" si="47"/>
        <v>0</v>
      </c>
      <c r="HQ1158" s="3">
        <f t="shared" si="47"/>
        <v>0</v>
      </c>
      <c r="HR1158" s="3">
        <f t="shared" si="47"/>
        <v>0</v>
      </c>
      <c r="HS1158" s="3">
        <f t="shared" si="47"/>
        <v>0</v>
      </c>
      <c r="HT1158" s="3">
        <f t="shared" si="47"/>
        <v>0</v>
      </c>
      <c r="HU1158" s="3">
        <f t="shared" si="47"/>
        <v>0</v>
      </c>
      <c r="HV1158" s="3">
        <f t="shared" si="47"/>
        <v>0</v>
      </c>
      <c r="HW1158" s="3">
        <f t="shared" si="47"/>
        <v>0</v>
      </c>
      <c r="HX1158" s="3">
        <f t="shared" si="47"/>
        <v>0</v>
      </c>
      <c r="HY1158" s="3">
        <f t="shared" si="47"/>
        <v>0</v>
      </c>
      <c r="HZ1158" s="3">
        <f t="shared" si="47"/>
        <v>0</v>
      </c>
      <c r="IA1158" s="3">
        <f t="shared" si="47"/>
        <v>0</v>
      </c>
      <c r="IB1158" s="3">
        <f t="shared" si="47"/>
        <v>0</v>
      </c>
      <c r="IC1158" s="3">
        <f t="shared" si="47"/>
        <v>0</v>
      </c>
      <c r="ID1158" s="3">
        <f t="shared" si="47"/>
        <v>0</v>
      </c>
    </row>
    <row r="1162" spans="1:238" s="254" customFormat="1" x14ac:dyDescent="0.25">
      <c r="A1162" s="254" t="s">
        <v>0</v>
      </c>
      <c r="B1162" s="254" t="s">
        <v>5</v>
      </c>
      <c r="C1162" s="254" t="s">
        <v>89</v>
      </c>
      <c r="D1162" s="254" t="s">
        <v>95</v>
      </c>
      <c r="E1162" s="253" t="s">
        <v>2229</v>
      </c>
      <c r="F1162" s="260"/>
      <c r="G1162" s="260"/>
      <c r="H1162" s="254" t="s">
        <v>28</v>
      </c>
      <c r="I1162" s="253" t="s">
        <v>382</v>
      </c>
      <c r="J1162" s="253" t="s">
        <v>2044</v>
      </c>
      <c r="K1162" s="253" t="s">
        <v>2045</v>
      </c>
      <c r="L1162" s="253" t="s">
        <v>2046</v>
      </c>
      <c r="M1162" s="253" t="s">
        <v>1548</v>
      </c>
      <c r="N1162" s="253" t="s">
        <v>1658</v>
      </c>
      <c r="O1162" s="253" t="s">
        <v>1660</v>
      </c>
      <c r="P1162" s="253" t="s">
        <v>1659</v>
      </c>
      <c r="Q1162" s="253" t="s">
        <v>705</v>
      </c>
      <c r="R1162" s="253" t="s">
        <v>1661</v>
      </c>
      <c r="S1162" s="253" t="s">
        <v>93</v>
      </c>
      <c r="T1162" s="253" t="s">
        <v>567</v>
      </c>
      <c r="U1162" s="253" t="s">
        <v>1368</v>
      </c>
      <c r="V1162" s="253" t="s">
        <v>353</v>
      </c>
      <c r="W1162" s="253" t="s">
        <v>206</v>
      </c>
      <c r="X1162" s="253" t="s">
        <v>2204</v>
      </c>
      <c r="Y1162" s="253" t="s">
        <v>207</v>
      </c>
      <c r="Z1162" s="254" t="s">
        <v>91</v>
      </c>
      <c r="AA1162" s="254" t="s">
        <v>261</v>
      </c>
      <c r="AB1162" s="254" t="s">
        <v>606</v>
      </c>
      <c r="AC1162" s="254" t="s">
        <v>938</v>
      </c>
      <c r="AD1162" s="254" t="s">
        <v>674</v>
      </c>
      <c r="AE1162" s="254" t="s">
        <v>1565</v>
      </c>
      <c r="AF1162" s="254" t="s">
        <v>1507</v>
      </c>
      <c r="AG1162" s="254" t="s">
        <v>531</v>
      </c>
      <c r="AH1162" s="254" t="s">
        <v>541</v>
      </c>
      <c r="AI1162" s="254" t="s">
        <v>382</v>
      </c>
      <c r="AJ1162" s="254" t="s">
        <v>708</v>
      </c>
      <c r="AK1162" s="254" t="s">
        <v>553</v>
      </c>
      <c r="AL1162" s="254" t="s">
        <v>93</v>
      </c>
      <c r="AM1162" s="254" t="s">
        <v>632</v>
      </c>
      <c r="AN1162" s="253" t="s">
        <v>2191</v>
      </c>
      <c r="AO1162" s="254" t="s">
        <v>931</v>
      </c>
      <c r="AP1162" s="254" t="s">
        <v>1566</v>
      </c>
      <c r="AQ1162" s="254" t="s">
        <v>635</v>
      </c>
      <c r="AR1162" s="254" t="s">
        <v>1425</v>
      </c>
      <c r="AS1162" s="254" t="s">
        <v>1530</v>
      </c>
      <c r="AT1162" s="254" t="s">
        <v>1732</v>
      </c>
      <c r="AU1162" s="254" t="s">
        <v>895</v>
      </c>
      <c r="AV1162" s="254" t="s">
        <v>1459</v>
      </c>
      <c r="AW1162" s="254" t="s">
        <v>1240</v>
      </c>
      <c r="AX1162" s="254" t="s">
        <v>1505</v>
      </c>
      <c r="AY1162" s="254" t="s">
        <v>556</v>
      </c>
      <c r="AZ1162" s="254" t="s">
        <v>1434</v>
      </c>
      <c r="BA1162" s="254" t="s">
        <v>640</v>
      </c>
      <c r="BB1162" s="254" t="s">
        <v>552</v>
      </c>
      <c r="BC1162" s="254" t="s">
        <v>565</v>
      </c>
      <c r="BD1162" s="254" t="s">
        <v>597</v>
      </c>
      <c r="BE1162" s="254" t="s">
        <v>488</v>
      </c>
      <c r="BF1162" s="254" t="s">
        <v>1247</v>
      </c>
      <c r="BG1162" s="254" t="s">
        <v>242</v>
      </c>
      <c r="BH1162" s="254" t="s">
        <v>92</v>
      </c>
      <c r="BI1162" s="254" t="s">
        <v>80</v>
      </c>
      <c r="BJ1162" s="254" t="s">
        <v>1430</v>
      </c>
      <c r="BK1162" s="254" t="s">
        <v>256</v>
      </c>
      <c r="BL1162" s="254" t="s">
        <v>673</v>
      </c>
      <c r="BM1162" s="254" t="s">
        <v>81</v>
      </c>
      <c r="BN1162" s="254" t="s">
        <v>80</v>
      </c>
      <c r="BO1162" s="254" t="s">
        <v>1430</v>
      </c>
      <c r="BP1162" s="254" t="s">
        <v>81</v>
      </c>
      <c r="BQ1162" s="254" t="s">
        <v>226</v>
      </c>
      <c r="BR1162" s="254" t="s">
        <v>69</v>
      </c>
      <c r="BS1162" s="254" t="s">
        <v>84</v>
      </c>
      <c r="BT1162" s="254" t="s">
        <v>76</v>
      </c>
      <c r="BU1162" s="254" t="s">
        <v>38</v>
      </c>
      <c r="BV1162" s="254" t="s">
        <v>271</v>
      </c>
      <c r="BW1162" s="254" t="s">
        <v>34</v>
      </c>
      <c r="BX1162" s="254" t="s">
        <v>35</v>
      </c>
      <c r="BY1162" s="254" t="s">
        <v>6</v>
      </c>
      <c r="BZ1162" s="254" t="s">
        <v>82</v>
      </c>
      <c r="CA1162" s="254" t="s">
        <v>63</v>
      </c>
      <c r="CB1162" s="254" t="s">
        <v>68</v>
      </c>
      <c r="CC1162" s="254" t="s">
        <v>221</v>
      </c>
      <c r="CD1162" s="254" t="s">
        <v>83</v>
      </c>
      <c r="CE1162" s="254" t="s">
        <v>37</v>
      </c>
      <c r="CF1162" s="254" t="s">
        <v>74</v>
      </c>
      <c r="CG1162" s="254" t="s">
        <v>39</v>
      </c>
      <c r="CH1162" s="254" t="s">
        <v>6</v>
      </c>
      <c r="CI1162" s="254" t="s">
        <v>38</v>
      </c>
      <c r="CJ1162" s="254" t="s">
        <v>78</v>
      </c>
      <c r="CK1162" s="254" t="s">
        <v>79</v>
      </c>
      <c r="CL1162" s="254" t="s">
        <v>59</v>
      </c>
      <c r="CM1162" s="254" t="s">
        <v>36</v>
      </c>
      <c r="CN1162" s="254" t="s">
        <v>63</v>
      </c>
      <c r="CO1162" s="254" t="s">
        <v>38</v>
      </c>
      <c r="CP1162" s="339"/>
      <c r="CQ1162" s="348"/>
      <c r="CR1162" s="254" t="s">
        <v>6</v>
      </c>
      <c r="CS1162" s="254" t="s">
        <v>37</v>
      </c>
      <c r="CT1162" s="254" t="s">
        <v>1186</v>
      </c>
      <c r="CU1162" s="360"/>
      <c r="CV1162" s="254" t="s">
        <v>1189</v>
      </c>
      <c r="CW1162" s="254" t="s">
        <v>39</v>
      </c>
      <c r="CX1162" s="254" t="s">
        <v>690</v>
      </c>
      <c r="CY1162" s="254" t="s">
        <v>19</v>
      </c>
      <c r="CZ1162" s="253" t="s">
        <v>2125</v>
      </c>
      <c r="DA1162" s="254" t="s">
        <v>68</v>
      </c>
      <c r="DB1162" s="254" t="s">
        <v>323</v>
      </c>
      <c r="DC1162" s="254" t="s">
        <v>69</v>
      </c>
      <c r="DD1162" s="254" t="s">
        <v>1776</v>
      </c>
      <c r="DE1162" s="253" t="s">
        <v>2065</v>
      </c>
      <c r="DF1162" s="254" t="s">
        <v>377</v>
      </c>
      <c r="DG1162" s="254" t="s">
        <v>1514</v>
      </c>
      <c r="DH1162" s="355"/>
      <c r="DI1162" s="254" t="s">
        <v>62</v>
      </c>
      <c r="DJ1162" s="205" t="s">
        <v>392</v>
      </c>
      <c r="DK1162" s="253" t="s">
        <v>2190</v>
      </c>
      <c r="DL1162" s="254" t="s">
        <v>604</v>
      </c>
      <c r="DM1162" s="254" t="s">
        <v>1132</v>
      </c>
      <c r="DN1162" s="254" t="s">
        <v>1248</v>
      </c>
      <c r="DO1162" s="254" t="s">
        <v>634</v>
      </c>
      <c r="DP1162" s="254" t="s">
        <v>306</v>
      </c>
      <c r="DQ1162" s="254" t="s">
        <v>896</v>
      </c>
      <c r="DR1162" s="51" t="s">
        <v>307</v>
      </c>
      <c r="DS1162" s="253" t="s">
        <v>2141</v>
      </c>
      <c r="DT1162" s="253" t="s">
        <v>2142</v>
      </c>
      <c r="DU1162" s="253" t="s">
        <v>2143</v>
      </c>
      <c r="DV1162" s="254" t="s">
        <v>69</v>
      </c>
      <c r="DW1162" s="254" t="s">
        <v>1672</v>
      </c>
      <c r="DX1162" s="254" t="s">
        <v>84</v>
      </c>
      <c r="DY1162" s="254" t="s">
        <v>712</v>
      </c>
      <c r="DZ1162" s="254" t="s">
        <v>710</v>
      </c>
      <c r="EA1162" s="253" t="s">
        <v>2203</v>
      </c>
      <c r="EB1162" s="253" t="s">
        <v>2093</v>
      </c>
      <c r="EC1162" s="254" t="s">
        <v>1289</v>
      </c>
      <c r="ED1162" s="254" t="s">
        <v>902</v>
      </c>
      <c r="EE1162" s="254" t="s">
        <v>888</v>
      </c>
      <c r="EF1162" s="254" t="s">
        <v>624</v>
      </c>
      <c r="EG1162" s="254" t="s">
        <v>699</v>
      </c>
      <c r="EH1162" s="254" t="s">
        <v>37</v>
      </c>
      <c r="EI1162" s="253" t="s">
        <v>2089</v>
      </c>
      <c r="EJ1162" s="254" t="s">
        <v>76</v>
      </c>
      <c r="EK1162" s="254" t="s">
        <v>38</v>
      </c>
      <c r="EL1162" s="254" t="s">
        <v>611</v>
      </c>
      <c r="EM1162" s="254" t="s">
        <v>612</v>
      </c>
      <c r="EN1162" s="254" t="s">
        <v>613</v>
      </c>
      <c r="EO1162" s="254" t="s">
        <v>620</v>
      </c>
      <c r="EP1162" s="254" t="s">
        <v>377</v>
      </c>
      <c r="EQ1162" s="254" t="s">
        <v>271</v>
      </c>
      <c r="ER1162" s="254" t="s">
        <v>34</v>
      </c>
      <c r="ES1162" s="254" t="s">
        <v>35</v>
      </c>
      <c r="ET1162" s="254" t="s">
        <v>713</v>
      </c>
      <c r="EU1162" s="254" t="s">
        <v>621</v>
      </c>
      <c r="EV1162" s="254" t="s">
        <v>622</v>
      </c>
      <c r="EW1162" s="254" t="s">
        <v>623</v>
      </c>
      <c r="EX1162" s="253" t="s">
        <v>2047</v>
      </c>
      <c r="EY1162" s="254" t="s">
        <v>6</v>
      </c>
      <c r="EZ1162" s="254" t="s">
        <v>603</v>
      </c>
      <c r="FA1162" s="254" t="s">
        <v>618</v>
      </c>
      <c r="FB1162" s="254" t="s">
        <v>1249</v>
      </c>
      <c r="FC1162" s="254" t="s">
        <v>82</v>
      </c>
      <c r="FD1162" s="254" t="s">
        <v>489</v>
      </c>
      <c r="FE1162" s="254" t="s">
        <v>63</v>
      </c>
      <c r="FF1162" s="254" t="s">
        <v>68</v>
      </c>
      <c r="FG1162" s="254" t="s">
        <v>442</v>
      </c>
      <c r="FH1162" s="254" t="s">
        <v>1371</v>
      </c>
      <c r="FI1162" s="254" t="s">
        <v>1593</v>
      </c>
      <c r="FJ1162" s="254" t="s">
        <v>221</v>
      </c>
      <c r="FK1162" s="254" t="s">
        <v>83</v>
      </c>
      <c r="FL1162" s="254" t="s">
        <v>19</v>
      </c>
      <c r="FM1162" s="254" t="s">
        <v>648</v>
      </c>
      <c r="FN1162" s="254" t="s">
        <v>649</v>
      </c>
      <c r="FO1162" s="254" t="s">
        <v>650</v>
      </c>
      <c r="FP1162" s="254" t="s">
        <v>962</v>
      </c>
      <c r="FQ1162" s="254" t="s">
        <v>470</v>
      </c>
      <c r="FR1162" s="254" t="s">
        <v>363</v>
      </c>
      <c r="FS1162" s="254" t="s">
        <v>489</v>
      </c>
      <c r="FT1162" s="254" t="s">
        <v>676</v>
      </c>
      <c r="FU1162" s="254" t="s">
        <v>490</v>
      </c>
      <c r="FV1162" s="254" t="s">
        <v>596</v>
      </c>
      <c r="FW1162" s="254" t="s">
        <v>417</v>
      </c>
      <c r="FX1162" s="254" t="s">
        <v>472</v>
      </c>
      <c r="FY1162" s="254" t="s">
        <v>933</v>
      </c>
      <c r="FZ1162" s="254" t="s">
        <v>1293</v>
      </c>
      <c r="GA1162" s="254" t="s">
        <v>1654</v>
      </c>
      <c r="GB1162" s="254" t="s">
        <v>1655</v>
      </c>
      <c r="GC1162" s="254" t="s">
        <v>1726</v>
      </c>
      <c r="GD1162" s="254" t="s">
        <v>566</v>
      </c>
      <c r="GE1162" s="279"/>
      <c r="GG1162" s="367"/>
      <c r="GH1162" s="295"/>
      <c r="GI1162" s="279"/>
      <c r="GQ1162" s="315"/>
    </row>
    <row r="1163" spans="1:238" x14ac:dyDescent="0.25">
      <c r="A1163" s="253" t="s">
        <v>2241</v>
      </c>
      <c r="B1163" s="18" t="s">
        <v>2</v>
      </c>
      <c r="C1163" s="1">
        <v>14442</v>
      </c>
      <c r="D1163" s="220">
        <v>0</v>
      </c>
      <c r="E1163" s="247">
        <v>12000</v>
      </c>
      <c r="H1163" s="1">
        <v>0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0</v>
      </c>
      <c r="Y1163" s="1">
        <v>0</v>
      </c>
      <c r="Z1163" s="1">
        <v>0</v>
      </c>
      <c r="AA1163" s="1">
        <v>0</v>
      </c>
      <c r="AB1163" s="1">
        <v>72</v>
      </c>
      <c r="AC1163" s="1">
        <v>25204</v>
      </c>
      <c r="AD1163" s="1">
        <v>0</v>
      </c>
      <c r="AE1163" s="1">
        <v>0</v>
      </c>
      <c r="AF1163" s="1">
        <v>1212</v>
      </c>
      <c r="AG1163" s="1">
        <v>3200000</v>
      </c>
      <c r="AH1163" s="1">
        <v>0</v>
      </c>
      <c r="AI1163" s="1">
        <v>0</v>
      </c>
      <c r="AJ1163" s="1">
        <v>0</v>
      </c>
      <c r="AK1163" s="1">
        <v>29000</v>
      </c>
      <c r="AL1163" s="1">
        <v>49624</v>
      </c>
      <c r="AM1163" s="1">
        <v>40000</v>
      </c>
      <c r="AN1163" s="1">
        <v>0</v>
      </c>
      <c r="AO1163" s="1">
        <v>20200</v>
      </c>
      <c r="AP1163" s="1">
        <v>0</v>
      </c>
      <c r="AQ1163" s="1">
        <v>0</v>
      </c>
      <c r="AR1163" s="1">
        <v>59400</v>
      </c>
      <c r="AS1163" s="1">
        <v>1478667</v>
      </c>
      <c r="AT1163" s="1">
        <v>2400000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v>170000</v>
      </c>
      <c r="BA1163" s="1">
        <v>120000</v>
      </c>
      <c r="BB1163" s="1">
        <v>53500</v>
      </c>
      <c r="BC1163" s="1">
        <v>0</v>
      </c>
      <c r="BD1163" s="1">
        <v>0</v>
      </c>
      <c r="BE1163" s="1">
        <v>22000</v>
      </c>
      <c r="BF1163" s="1">
        <v>127592</v>
      </c>
      <c r="BG1163" s="1">
        <v>230000</v>
      </c>
      <c r="BH1163" s="1">
        <v>0</v>
      </c>
      <c r="BI1163" s="1">
        <v>0</v>
      </c>
      <c r="BJ1163" s="1">
        <v>0</v>
      </c>
      <c r="BK1163" s="1">
        <v>1400000</v>
      </c>
      <c r="BL1163" s="1">
        <v>0</v>
      </c>
      <c r="BM1163" s="1">
        <v>0</v>
      </c>
      <c r="BN1163" s="1">
        <v>0</v>
      </c>
      <c r="BO1163" s="1">
        <v>250000</v>
      </c>
      <c r="BP1163" s="1">
        <v>0</v>
      </c>
      <c r="BQ1163" s="1">
        <v>0</v>
      </c>
      <c r="BR1163" s="1">
        <v>0</v>
      </c>
      <c r="BS1163" s="1">
        <v>0</v>
      </c>
      <c r="BT1163" s="1">
        <v>0</v>
      </c>
      <c r="BU1163" s="1">
        <v>0</v>
      </c>
      <c r="BV1163" s="1">
        <v>0</v>
      </c>
      <c r="BW1163" s="1">
        <v>0</v>
      </c>
      <c r="BX1163" s="1">
        <v>0</v>
      </c>
      <c r="BY1163" s="1">
        <v>0</v>
      </c>
      <c r="BZ1163" s="1">
        <v>0</v>
      </c>
      <c r="CA1163" s="1">
        <v>0</v>
      </c>
      <c r="CB1163" s="1">
        <v>0</v>
      </c>
      <c r="CC1163" s="1">
        <v>0</v>
      </c>
      <c r="CD1163" s="1">
        <v>0</v>
      </c>
      <c r="CE1163" s="1">
        <v>0</v>
      </c>
      <c r="CF1163" s="1">
        <v>0</v>
      </c>
      <c r="CG1163" s="1">
        <v>0</v>
      </c>
      <c r="CH1163" s="1">
        <v>0</v>
      </c>
      <c r="CI1163" s="1">
        <v>0</v>
      </c>
      <c r="CJ1163" s="1">
        <v>0</v>
      </c>
      <c r="CK1163" s="1">
        <v>0</v>
      </c>
      <c r="CL1163" s="1">
        <v>0</v>
      </c>
      <c r="CM1163" s="1">
        <v>0</v>
      </c>
      <c r="CN1163" s="1">
        <v>0</v>
      </c>
      <c r="CO1163" s="1">
        <v>80</v>
      </c>
      <c r="CR1163" s="1">
        <v>0</v>
      </c>
      <c r="CS1163" s="1">
        <v>0</v>
      </c>
      <c r="CT1163" s="1">
        <v>0</v>
      </c>
      <c r="CV1163" s="1">
        <v>0</v>
      </c>
      <c r="CW1163" s="1">
        <v>0</v>
      </c>
      <c r="CX1163" s="1">
        <v>0</v>
      </c>
      <c r="CY1163" s="1">
        <v>0</v>
      </c>
      <c r="CZ1163" s="1">
        <v>9000</v>
      </c>
      <c r="DA1163" s="1">
        <v>0</v>
      </c>
      <c r="DB1163" s="1">
        <v>0</v>
      </c>
      <c r="DC1163" s="1">
        <v>0</v>
      </c>
      <c r="DD1163" s="1">
        <v>0</v>
      </c>
      <c r="DE1163" s="1">
        <v>12500</v>
      </c>
      <c r="DF1163" s="1">
        <v>0</v>
      </c>
      <c r="DG1163" s="1">
        <v>0</v>
      </c>
      <c r="DI1163" s="1">
        <v>0</v>
      </c>
      <c r="DJ1163" s="1">
        <v>0</v>
      </c>
      <c r="DK1163" s="1">
        <v>613390</v>
      </c>
      <c r="DL1163" s="1">
        <v>157680</v>
      </c>
      <c r="DM1163" s="1">
        <v>53700</v>
      </c>
      <c r="DN1163" s="1">
        <v>27500</v>
      </c>
      <c r="DO1163" s="1">
        <v>635600</v>
      </c>
      <c r="DP1163" s="1">
        <v>49640</v>
      </c>
      <c r="DQ1163" s="1">
        <v>0</v>
      </c>
      <c r="DR1163" s="1">
        <v>0</v>
      </c>
      <c r="DS1163" s="65">
        <v>0</v>
      </c>
      <c r="DT1163" s="65">
        <v>1533000</v>
      </c>
      <c r="DU1163" s="65">
        <v>185000</v>
      </c>
      <c r="DV1163" s="1">
        <v>0</v>
      </c>
      <c r="DW1163" s="1">
        <v>18500</v>
      </c>
      <c r="DX1163" s="1">
        <v>0</v>
      </c>
      <c r="DY1163" s="1">
        <v>0</v>
      </c>
      <c r="DZ1163" s="1">
        <v>15000</v>
      </c>
      <c r="EA1163" s="1">
        <v>4500</v>
      </c>
      <c r="EB1163" s="1">
        <v>220000</v>
      </c>
      <c r="EC1163" s="1">
        <v>0</v>
      </c>
      <c r="ED1163" s="1">
        <v>0</v>
      </c>
      <c r="EE1163" s="1">
        <v>0</v>
      </c>
      <c r="EF1163" s="1">
        <v>0</v>
      </c>
      <c r="EG1163" s="1">
        <v>555</v>
      </c>
      <c r="EH1163" s="1">
        <v>0</v>
      </c>
      <c r="EI1163" s="1">
        <v>816944</v>
      </c>
      <c r="EJ1163" s="1">
        <v>181040</v>
      </c>
      <c r="EK1163" s="1">
        <v>23210</v>
      </c>
      <c r="EL1163" s="1">
        <v>16470</v>
      </c>
      <c r="EM1163" s="1">
        <v>25400</v>
      </c>
      <c r="EN1163" s="1">
        <v>1797500</v>
      </c>
      <c r="EO1163" s="1">
        <v>0</v>
      </c>
      <c r="EP1163" s="1">
        <v>233</v>
      </c>
      <c r="EQ1163" s="1">
        <v>4160</v>
      </c>
      <c r="ER1163" s="1">
        <v>22200</v>
      </c>
      <c r="ES1163" s="1">
        <v>6185712</v>
      </c>
      <c r="ET1163" s="1">
        <v>0</v>
      </c>
      <c r="EU1163" s="1">
        <v>0</v>
      </c>
      <c r="EV1163" s="1">
        <v>0</v>
      </c>
      <c r="EW1163" s="1">
        <v>0</v>
      </c>
      <c r="EX1163" s="1">
        <v>0</v>
      </c>
      <c r="EY1163" s="1">
        <v>660</v>
      </c>
      <c r="EZ1163" s="1">
        <v>0</v>
      </c>
      <c r="FA1163" s="1">
        <v>541</v>
      </c>
      <c r="FB1163" s="1">
        <v>0</v>
      </c>
      <c r="FC1163" s="1">
        <v>332696</v>
      </c>
      <c r="FD1163" s="1">
        <v>16060</v>
      </c>
      <c r="FE1163" s="1">
        <v>133488</v>
      </c>
      <c r="FF1163" s="1">
        <v>0</v>
      </c>
      <c r="FG1163" s="1">
        <v>0</v>
      </c>
      <c r="FH1163" s="1">
        <v>50000</v>
      </c>
      <c r="FI1163" s="1">
        <v>398000</v>
      </c>
      <c r="FJ1163" s="1">
        <v>45790</v>
      </c>
      <c r="FK1163" s="1">
        <v>6800</v>
      </c>
      <c r="FL1163" s="1">
        <v>1756</v>
      </c>
      <c r="FM1163" s="1">
        <v>0</v>
      </c>
      <c r="FN1163" s="1">
        <v>0</v>
      </c>
      <c r="FO1163" s="1">
        <v>0</v>
      </c>
      <c r="FP1163" s="1">
        <v>0</v>
      </c>
      <c r="FQ1163" s="1">
        <v>0</v>
      </c>
      <c r="FR1163" s="1">
        <v>80</v>
      </c>
      <c r="FS1163" s="1">
        <v>0</v>
      </c>
      <c r="FT1163" s="1">
        <v>0</v>
      </c>
      <c r="FU1163" s="1">
        <v>0</v>
      </c>
      <c r="FV1163" s="1">
        <v>0</v>
      </c>
      <c r="FW1163" s="1">
        <v>0</v>
      </c>
      <c r="FX1163" s="1">
        <v>0</v>
      </c>
      <c r="FY1163" s="1">
        <v>0</v>
      </c>
      <c r="FZ1163" s="1">
        <v>150</v>
      </c>
      <c r="GA1163" s="1">
        <v>22500</v>
      </c>
      <c r="GB1163" s="1">
        <v>18880</v>
      </c>
      <c r="GC1163" s="1">
        <v>0</v>
      </c>
      <c r="GD1163" s="1">
        <v>0</v>
      </c>
      <c r="GF1163" s="1">
        <v>0</v>
      </c>
      <c r="GJ1163" s="1">
        <v>0</v>
      </c>
      <c r="GK1163" s="1">
        <v>0</v>
      </c>
      <c r="GL1163" s="1">
        <v>0</v>
      </c>
      <c r="GM1163" s="1">
        <v>0</v>
      </c>
      <c r="GN1163" s="1">
        <v>0</v>
      </c>
      <c r="GO1163" s="1">
        <v>0</v>
      </c>
      <c r="GP1163" s="1">
        <v>0</v>
      </c>
      <c r="GR1163" s="1">
        <v>0</v>
      </c>
      <c r="GS1163" s="1">
        <v>0</v>
      </c>
      <c r="GT1163" s="1">
        <v>0</v>
      </c>
      <c r="GU1163" s="1">
        <v>0</v>
      </c>
      <c r="GV1163" s="1">
        <v>0</v>
      </c>
      <c r="GW1163" s="1">
        <v>0</v>
      </c>
      <c r="GX1163" s="1">
        <v>0</v>
      </c>
      <c r="GY1163" s="1">
        <v>0</v>
      </c>
      <c r="GZ1163" s="1">
        <v>0</v>
      </c>
      <c r="HA1163" s="1">
        <v>0</v>
      </c>
      <c r="HB1163" s="1">
        <v>0</v>
      </c>
      <c r="HC1163" s="1">
        <v>0</v>
      </c>
      <c r="HD1163" s="1">
        <v>0</v>
      </c>
      <c r="HE1163" s="1">
        <v>0</v>
      </c>
      <c r="HF1163" s="1">
        <v>0</v>
      </c>
      <c r="HG1163" s="1">
        <v>0</v>
      </c>
      <c r="HH1163" s="1">
        <v>0</v>
      </c>
      <c r="HI1163" s="1">
        <v>0</v>
      </c>
      <c r="HJ1163" s="1">
        <v>0</v>
      </c>
      <c r="HK1163" s="1">
        <v>0</v>
      </c>
      <c r="HL1163" s="1">
        <v>0</v>
      </c>
      <c r="HM1163" s="1">
        <v>0</v>
      </c>
      <c r="HN1163" s="1">
        <v>0</v>
      </c>
      <c r="HO1163" s="1">
        <v>0</v>
      </c>
      <c r="HP1163" s="1">
        <v>0</v>
      </c>
      <c r="HQ1163" s="1">
        <v>0</v>
      </c>
      <c r="HR1163" s="1">
        <v>0</v>
      </c>
      <c r="HS1163" s="1">
        <v>0</v>
      </c>
      <c r="HT1163" s="1">
        <v>0</v>
      </c>
      <c r="HU1163" s="1">
        <v>0</v>
      </c>
      <c r="HV1163" s="1">
        <v>0</v>
      </c>
      <c r="HW1163" s="1">
        <v>0</v>
      </c>
      <c r="HX1163" s="1">
        <v>0</v>
      </c>
      <c r="HY1163" s="1">
        <v>0</v>
      </c>
      <c r="HZ1163" s="1">
        <v>0</v>
      </c>
      <c r="IA1163" s="1">
        <v>0</v>
      </c>
      <c r="IB1163" s="1">
        <v>0</v>
      </c>
      <c r="IC1163" s="1">
        <v>0</v>
      </c>
      <c r="ID1163" s="1">
        <v>0</v>
      </c>
    </row>
    <row r="1164" spans="1:238" x14ac:dyDescent="0.25">
      <c r="A1164" s="253" t="s">
        <v>2241</v>
      </c>
      <c r="B1164" s="41" t="s">
        <v>2244</v>
      </c>
      <c r="C1164" s="1">
        <v>-4000</v>
      </c>
      <c r="D1164" s="160" t="s">
        <v>2243</v>
      </c>
      <c r="CS1164" s="1">
        <v>4000</v>
      </c>
    </row>
    <row r="1165" spans="1:238" x14ac:dyDescent="0.25">
      <c r="A1165" s="255" t="s">
        <v>2245</v>
      </c>
      <c r="B1165" s="18" t="s">
        <v>2246</v>
      </c>
      <c r="C1165" s="1">
        <v>-12500</v>
      </c>
      <c r="DC1165" s="1">
        <v>12500</v>
      </c>
    </row>
    <row r="1166" spans="1:238" ht="18" customHeight="1" x14ac:dyDescent="0.25">
      <c r="A1166" s="255" t="s">
        <v>2245</v>
      </c>
      <c r="B1166" s="7" t="s">
        <v>2247</v>
      </c>
      <c r="C1166" s="1">
        <v>6000</v>
      </c>
      <c r="E1166" s="247">
        <v>-6000</v>
      </c>
    </row>
    <row r="1167" spans="1:238" ht="18" customHeight="1" x14ac:dyDescent="0.25">
      <c r="A1167" s="256" t="s">
        <v>2248</v>
      </c>
      <c r="B1167" s="7" t="s">
        <v>2249</v>
      </c>
      <c r="C1167" s="1">
        <v>200000</v>
      </c>
      <c r="D1167" s="256"/>
      <c r="E1167" s="256"/>
      <c r="GD1167" s="1">
        <v>-200000</v>
      </c>
    </row>
    <row r="1168" spans="1:238" ht="18" customHeight="1" x14ac:dyDescent="0.25">
      <c r="A1168" s="256" t="s">
        <v>2248</v>
      </c>
      <c r="B1168" s="18" t="s">
        <v>2250</v>
      </c>
      <c r="C1168" s="1">
        <v>-32000</v>
      </c>
      <c r="D1168" s="256"/>
      <c r="E1168" s="256"/>
      <c r="DA1168" s="1">
        <v>32000</v>
      </c>
    </row>
    <row r="1169" spans="1:216" ht="18" customHeight="1" x14ac:dyDescent="0.25">
      <c r="A1169" s="256" t="s">
        <v>2248</v>
      </c>
      <c r="B1169" s="18" t="s">
        <v>2255</v>
      </c>
      <c r="C1169" s="1">
        <v>-1000</v>
      </c>
      <c r="D1169" s="256"/>
      <c r="E1169" s="256"/>
      <c r="GB1169" s="1">
        <v>1000</v>
      </c>
    </row>
    <row r="1170" spans="1:216" ht="18" customHeight="1" x14ac:dyDescent="0.25">
      <c r="A1170" s="256" t="s">
        <v>2248</v>
      </c>
      <c r="B1170" s="18" t="s">
        <v>2256</v>
      </c>
      <c r="C1170" s="1">
        <v>-10000</v>
      </c>
      <c r="D1170" s="256"/>
      <c r="E1170" s="256"/>
      <c r="GA1170" s="1">
        <v>10000</v>
      </c>
    </row>
    <row r="1171" spans="1:216" ht="18" customHeight="1" x14ac:dyDescent="0.25">
      <c r="A1171" s="256" t="s">
        <v>2248</v>
      </c>
      <c r="B1171" s="18" t="s">
        <v>2257</v>
      </c>
      <c r="C1171" s="1">
        <v>-9000</v>
      </c>
      <c r="D1171" s="256"/>
      <c r="E1171" s="256"/>
      <c r="EJ1171" s="1">
        <v>9000</v>
      </c>
    </row>
    <row r="1172" spans="1:216" ht="18" customHeight="1" x14ac:dyDescent="0.25">
      <c r="A1172" s="256" t="s">
        <v>2248</v>
      </c>
      <c r="B1172" s="18" t="s">
        <v>2254</v>
      </c>
      <c r="C1172" s="1">
        <v>-685</v>
      </c>
      <c r="D1172" s="256"/>
      <c r="E1172" s="256"/>
      <c r="EX1172" s="1">
        <v>685</v>
      </c>
    </row>
    <row r="1173" spans="1:216" ht="18" customHeight="1" x14ac:dyDescent="0.25">
      <c r="A1173" s="256" t="s">
        <v>2248</v>
      </c>
      <c r="B1173" s="18" t="s">
        <v>2253</v>
      </c>
      <c r="C1173" s="1">
        <v>-500</v>
      </c>
      <c r="D1173" s="256"/>
      <c r="E1173" s="256"/>
      <c r="FK1173" s="1">
        <v>500</v>
      </c>
    </row>
    <row r="1174" spans="1:216" ht="18" customHeight="1" x14ac:dyDescent="0.25">
      <c r="A1174" s="256" t="s">
        <v>2248</v>
      </c>
      <c r="B1174" s="18" t="s">
        <v>2252</v>
      </c>
      <c r="C1174" s="1">
        <v>-400</v>
      </c>
      <c r="D1174" s="256"/>
      <c r="E1174" s="256"/>
      <c r="FR1174" s="1">
        <v>400</v>
      </c>
    </row>
    <row r="1175" spans="1:216" ht="18" customHeight="1" x14ac:dyDescent="0.25">
      <c r="A1175" s="256" t="s">
        <v>2248</v>
      </c>
      <c r="B1175" s="18" t="s">
        <v>2251</v>
      </c>
      <c r="C1175" s="1">
        <v>-100000</v>
      </c>
      <c r="D1175" s="256"/>
      <c r="E1175" s="256"/>
      <c r="DD1175" s="1">
        <v>100000</v>
      </c>
    </row>
    <row r="1176" spans="1:216" ht="18" customHeight="1" x14ac:dyDescent="0.25">
      <c r="A1176" s="257" t="s">
        <v>2258</v>
      </c>
      <c r="B1176" s="18" t="s">
        <v>2259</v>
      </c>
      <c r="C1176" s="1">
        <f>-9600-5000</f>
        <v>-14600</v>
      </c>
      <c r="D1176" s="257"/>
      <c r="E1176" s="257"/>
      <c r="DP1176" s="1">
        <f>9600+5000</f>
        <v>14600</v>
      </c>
    </row>
    <row r="1177" spans="1:216" ht="18" customHeight="1" x14ac:dyDescent="0.25">
      <c r="A1177" s="257" t="s">
        <v>2258</v>
      </c>
      <c r="B1177" s="18" t="s">
        <v>2260</v>
      </c>
      <c r="C1177" s="1">
        <f>-3519-250-250-250-250</f>
        <v>-4519</v>
      </c>
      <c r="D1177" s="257"/>
      <c r="E1177" s="257"/>
      <c r="FS1177" s="1">
        <f>3519+1000</f>
        <v>4519</v>
      </c>
    </row>
    <row r="1178" spans="1:216" ht="18" customHeight="1" x14ac:dyDescent="0.25">
      <c r="A1178" s="258" t="s">
        <v>2261</v>
      </c>
      <c r="B1178" s="18" t="s">
        <v>2263</v>
      </c>
      <c r="C1178" s="1">
        <v>1600000</v>
      </c>
      <c r="D1178" s="258"/>
      <c r="E1178" s="258"/>
      <c r="H1178" s="1">
        <v>-1600000</v>
      </c>
    </row>
    <row r="1179" spans="1:216" ht="18" customHeight="1" x14ac:dyDescent="0.25">
      <c r="A1179" s="258" t="s">
        <v>2261</v>
      </c>
      <c r="B1179" s="7" t="s">
        <v>1531</v>
      </c>
      <c r="C1179" s="1">
        <v>-800000</v>
      </c>
      <c r="D1179" s="257"/>
      <c r="E1179" s="257"/>
      <c r="AS1179" s="1">
        <v>800000</v>
      </c>
    </row>
    <row r="1180" spans="1:216" ht="18" customHeight="1" x14ac:dyDescent="0.25">
      <c r="A1180" s="258" t="s">
        <v>2261</v>
      </c>
      <c r="B1180" s="173" t="s">
        <v>2265</v>
      </c>
      <c r="C1180" s="1">
        <v>-100000</v>
      </c>
      <c r="D1180" s="258"/>
      <c r="E1180" s="258"/>
      <c r="DI1180" s="1">
        <v>100000</v>
      </c>
    </row>
    <row r="1181" spans="1:216" ht="18" customHeight="1" x14ac:dyDescent="0.25">
      <c r="A1181" s="258" t="s">
        <v>2261</v>
      </c>
      <c r="B1181" s="18" t="s">
        <v>2266</v>
      </c>
      <c r="C1181" s="1">
        <v>-78500</v>
      </c>
      <c r="D1181" s="258"/>
      <c r="E1181" s="258"/>
      <c r="DC1181" s="1">
        <v>78500</v>
      </c>
    </row>
    <row r="1182" spans="1:216" ht="18" customHeight="1" x14ac:dyDescent="0.25">
      <c r="A1182" s="258" t="s">
        <v>2261</v>
      </c>
      <c r="B1182" s="18" t="s">
        <v>2267</v>
      </c>
      <c r="C1182" s="1">
        <v>-3000</v>
      </c>
      <c r="D1182" s="258"/>
      <c r="E1182" s="258"/>
      <c r="EJ1182" s="1">
        <v>3000</v>
      </c>
    </row>
    <row r="1183" spans="1:216" x14ac:dyDescent="0.25">
      <c r="A1183" s="260" t="s">
        <v>2270</v>
      </c>
      <c r="B1183" s="18" t="s">
        <v>2271</v>
      </c>
      <c r="C1183" s="1">
        <v>500000</v>
      </c>
      <c r="D1183" s="258"/>
      <c r="E1183" s="258"/>
      <c r="HH1183" s="260">
        <v>-500000</v>
      </c>
    </row>
    <row r="1184" spans="1:216" ht="18" customHeight="1" x14ac:dyDescent="0.25">
      <c r="A1184" s="263" t="s">
        <v>2272</v>
      </c>
      <c r="B1184" s="4" t="s">
        <v>2228</v>
      </c>
      <c r="C1184" s="1">
        <v>-150000</v>
      </c>
      <c r="D1184" s="258"/>
      <c r="E1184" s="258">
        <v>150000</v>
      </c>
    </row>
    <row r="1185" spans="1:210" ht="18" customHeight="1" x14ac:dyDescent="0.25">
      <c r="A1185" s="264" t="s">
        <v>2273</v>
      </c>
      <c r="B1185" s="18" t="s">
        <v>2274</v>
      </c>
      <c r="C1185" s="1">
        <v>-360</v>
      </c>
      <c r="D1185" s="258"/>
      <c r="E1185" s="258"/>
      <c r="EK1185" s="1">
        <v>360</v>
      </c>
    </row>
    <row r="1186" spans="1:210" ht="18" customHeight="1" x14ac:dyDescent="0.25">
      <c r="A1186" s="264" t="s">
        <v>2273</v>
      </c>
      <c r="B1186" s="18" t="s">
        <v>2275</v>
      </c>
      <c r="C1186" s="1">
        <v>-240</v>
      </c>
      <c r="D1186" s="264"/>
      <c r="E1186" s="264"/>
      <c r="F1186" s="264"/>
      <c r="G1186" s="264"/>
      <c r="EK1186" s="1">
        <v>240</v>
      </c>
    </row>
    <row r="1187" spans="1:210" ht="18" customHeight="1" x14ac:dyDescent="0.25">
      <c r="A1187" s="264" t="s">
        <v>2273</v>
      </c>
      <c r="B1187" s="18" t="s">
        <v>2275</v>
      </c>
      <c r="C1187" s="1">
        <v>-240</v>
      </c>
      <c r="D1187" s="264"/>
      <c r="E1187" s="264"/>
      <c r="F1187" s="264"/>
      <c r="G1187" s="264"/>
      <c r="EK1187" s="1">
        <v>240</v>
      </c>
    </row>
    <row r="1188" spans="1:210" ht="18" customHeight="1" x14ac:dyDescent="0.25">
      <c r="A1188" s="264" t="s">
        <v>2273</v>
      </c>
      <c r="B1188" s="18" t="s">
        <v>2276</v>
      </c>
      <c r="C1188" s="1">
        <v>-240</v>
      </c>
      <c r="D1188" s="264"/>
      <c r="E1188" s="264"/>
      <c r="F1188" s="264"/>
      <c r="G1188" s="264"/>
      <c r="EK1188" s="1">
        <v>240</v>
      </c>
    </row>
    <row r="1189" spans="1:210" ht="18" customHeight="1" x14ac:dyDescent="0.25">
      <c r="A1189" s="264" t="s">
        <v>2273</v>
      </c>
      <c r="B1189" s="18" t="s">
        <v>2277</v>
      </c>
      <c r="C1189" s="1">
        <v>-180</v>
      </c>
      <c r="D1189" s="264"/>
      <c r="E1189" s="264"/>
      <c r="F1189" s="264"/>
      <c r="G1189" s="264"/>
      <c r="EK1189" s="1">
        <v>180</v>
      </c>
    </row>
    <row r="1190" spans="1:210" ht="18" customHeight="1" x14ac:dyDescent="0.25">
      <c r="A1190" s="264" t="s">
        <v>2273</v>
      </c>
      <c r="B1190" s="18" t="s">
        <v>2278</v>
      </c>
      <c r="C1190" s="1">
        <v>-1000</v>
      </c>
      <c r="D1190" s="264"/>
      <c r="E1190" s="264"/>
      <c r="F1190" s="264"/>
      <c r="G1190" s="264"/>
      <c r="FR1190" s="1">
        <v>1000</v>
      </c>
    </row>
    <row r="1191" spans="1:210" ht="18" customHeight="1" x14ac:dyDescent="0.25">
      <c r="A1191" s="264" t="s">
        <v>2273</v>
      </c>
      <c r="B1191" s="18" t="s">
        <v>2279</v>
      </c>
      <c r="C1191" s="1">
        <v>-1344</v>
      </c>
      <c r="D1191" s="264"/>
      <c r="E1191" s="264"/>
      <c r="F1191" s="264"/>
      <c r="G1191" s="264"/>
      <c r="ES1191" s="1">
        <v>1344</v>
      </c>
    </row>
    <row r="1192" spans="1:210" ht="18" customHeight="1" x14ac:dyDescent="0.25">
      <c r="A1192" s="264" t="s">
        <v>2273</v>
      </c>
      <c r="B1192" s="18" t="s">
        <v>2287</v>
      </c>
      <c r="C1192" s="1">
        <v>-10200</v>
      </c>
      <c r="D1192" s="264"/>
      <c r="E1192" s="264"/>
      <c r="F1192" s="264"/>
      <c r="G1192" s="264"/>
      <c r="EP1192" s="1">
        <v>200</v>
      </c>
      <c r="GF1192" s="1">
        <v>10000</v>
      </c>
    </row>
    <row r="1193" spans="1:210" ht="18" customHeight="1" x14ac:dyDescent="0.25">
      <c r="A1193" s="264" t="s">
        <v>2273</v>
      </c>
      <c r="B1193" s="18" t="s">
        <v>2281</v>
      </c>
      <c r="C1193" s="1">
        <v>-30000</v>
      </c>
      <c r="D1193" s="264"/>
      <c r="E1193" s="264"/>
      <c r="F1193" s="264"/>
      <c r="G1193" s="264"/>
      <c r="HA1193" s="1">
        <v>30000</v>
      </c>
    </row>
    <row r="1194" spans="1:210" ht="18" customHeight="1" x14ac:dyDescent="0.25">
      <c r="A1194" s="264" t="s">
        <v>2273</v>
      </c>
      <c r="B1194" s="18" t="s">
        <v>2282</v>
      </c>
      <c r="C1194" s="1">
        <v>-20000</v>
      </c>
      <c r="D1194" s="264"/>
      <c r="E1194" s="264"/>
      <c r="F1194" s="264"/>
      <c r="G1194" s="264"/>
      <c r="HB1194" s="1">
        <v>20000</v>
      </c>
    </row>
    <row r="1195" spans="1:210" ht="18" customHeight="1" x14ac:dyDescent="0.25">
      <c r="A1195" s="264" t="s">
        <v>2273</v>
      </c>
      <c r="B1195" s="18" t="s">
        <v>2260</v>
      </c>
      <c r="C1195" s="1">
        <f>-3500-210-5200-20</f>
        <v>-8930</v>
      </c>
      <c r="D1195" s="264"/>
      <c r="E1195" s="264"/>
      <c r="F1195" s="264"/>
      <c r="G1195" s="264"/>
      <c r="FD1195" s="1">
        <v>8700</v>
      </c>
      <c r="FE1195" s="1">
        <f>20+210</f>
        <v>230</v>
      </c>
    </row>
    <row r="1196" spans="1:210" ht="18" customHeight="1" x14ac:dyDescent="0.25">
      <c r="A1196" s="264" t="s">
        <v>2273</v>
      </c>
      <c r="B1196" s="18" t="s">
        <v>2283</v>
      </c>
      <c r="C1196" s="1">
        <v>-2965</v>
      </c>
      <c r="D1196" s="264"/>
      <c r="E1196" s="264"/>
      <c r="F1196" s="264"/>
      <c r="G1196" s="264"/>
      <c r="ES1196" s="1">
        <v>2965</v>
      </c>
    </row>
    <row r="1197" spans="1:210" ht="19.5" customHeight="1" x14ac:dyDescent="0.25">
      <c r="A1197" s="264" t="s">
        <v>2273</v>
      </c>
      <c r="B1197" s="18" t="s">
        <v>2284</v>
      </c>
      <c r="C1197" s="1">
        <v>-1000</v>
      </c>
      <c r="D1197" s="264"/>
      <c r="E1197" s="264"/>
      <c r="F1197" s="264"/>
      <c r="G1197" s="264"/>
      <c r="FJ1197" s="1">
        <v>1000</v>
      </c>
    </row>
    <row r="1198" spans="1:210" ht="18" customHeight="1" x14ac:dyDescent="0.25">
      <c r="A1198" s="264" t="s">
        <v>2273</v>
      </c>
      <c r="B1198" s="18" t="s">
        <v>2285</v>
      </c>
      <c r="C1198" s="1">
        <v>-500</v>
      </c>
      <c r="D1198" s="264"/>
      <c r="E1198" s="264"/>
      <c r="F1198" s="264"/>
      <c r="G1198" s="264"/>
      <c r="FR1198" s="1">
        <v>500</v>
      </c>
    </row>
    <row r="1199" spans="1:210" ht="18.75" customHeight="1" x14ac:dyDescent="0.25">
      <c r="A1199" s="264" t="s">
        <v>2273</v>
      </c>
      <c r="B1199" s="18" t="s">
        <v>2286</v>
      </c>
      <c r="C1199" s="1">
        <v>-1200</v>
      </c>
      <c r="EQ1199" s="1">
        <v>1200</v>
      </c>
      <c r="FR1199" s="1">
        <v>0</v>
      </c>
    </row>
    <row r="1200" spans="1:210" ht="18.75" customHeight="1" x14ac:dyDescent="0.25">
      <c r="A1200" s="264" t="s">
        <v>2288</v>
      </c>
      <c r="B1200" s="18" t="s">
        <v>2293</v>
      </c>
      <c r="C1200" s="1">
        <v>-300000</v>
      </c>
      <c r="D1200" s="264"/>
      <c r="E1200" s="264"/>
      <c r="F1200" s="264"/>
      <c r="G1200" s="264"/>
      <c r="FI1200" s="1">
        <v>300000</v>
      </c>
    </row>
    <row r="1201" spans="1:210" ht="18.75" customHeight="1" x14ac:dyDescent="0.25">
      <c r="A1201" s="264" t="s">
        <v>2273</v>
      </c>
      <c r="B1201" s="18" t="s">
        <v>2198</v>
      </c>
      <c r="C1201" s="1">
        <v>-50000</v>
      </c>
      <c r="D1201" s="264"/>
      <c r="E1201" s="264"/>
      <c r="F1201" s="264"/>
      <c r="G1201" s="264"/>
      <c r="AG1201" s="1">
        <v>50000</v>
      </c>
    </row>
    <row r="1202" spans="1:210" ht="18.75" customHeight="1" x14ac:dyDescent="0.25">
      <c r="A1202" s="265" t="s">
        <v>2273</v>
      </c>
      <c r="B1202" s="18" t="s">
        <v>2291</v>
      </c>
      <c r="C1202" s="1">
        <v>-15300</v>
      </c>
      <c r="D1202" s="264"/>
      <c r="E1202" s="264"/>
      <c r="F1202" s="264"/>
      <c r="G1202" s="264"/>
      <c r="EY1202" s="1">
        <v>300</v>
      </c>
      <c r="HA1202" s="1">
        <v>15000</v>
      </c>
    </row>
    <row r="1203" spans="1:210" x14ac:dyDescent="0.25">
      <c r="A1203" s="265" t="s">
        <v>2273</v>
      </c>
      <c r="B1203" s="267" t="s">
        <v>2290</v>
      </c>
      <c r="C1203" s="1">
        <v>-250000</v>
      </c>
      <c r="E1203" s="247">
        <v>250000</v>
      </c>
    </row>
    <row r="1204" spans="1:210" x14ac:dyDescent="0.25">
      <c r="A1204" s="265" t="s">
        <v>2288</v>
      </c>
      <c r="B1204" s="18" t="s">
        <v>2289</v>
      </c>
      <c r="C1204" s="1">
        <v>-12387</v>
      </c>
      <c r="D1204" s="265"/>
      <c r="E1204" s="265"/>
      <c r="F1204" s="265"/>
      <c r="G1204" s="265"/>
      <c r="DC1204" s="1">
        <v>12387</v>
      </c>
    </row>
    <row r="1205" spans="1:210" x14ac:dyDescent="0.25">
      <c r="A1205" s="265" t="s">
        <v>2288</v>
      </c>
      <c r="B1205" s="7" t="s">
        <v>2292</v>
      </c>
      <c r="C1205" s="1">
        <v>400000</v>
      </c>
      <c r="E1205" s="247">
        <v>-400000</v>
      </c>
    </row>
    <row r="1206" spans="1:210" x14ac:dyDescent="0.25">
      <c r="A1206" s="265" t="s">
        <v>2288</v>
      </c>
      <c r="B1206" s="173" t="s">
        <v>1607</v>
      </c>
      <c r="C1206" s="1">
        <v>-50000</v>
      </c>
      <c r="D1206" s="265"/>
      <c r="E1206" s="265"/>
      <c r="F1206" s="265"/>
      <c r="G1206" s="265"/>
      <c r="DO1206" s="1">
        <v>50000</v>
      </c>
    </row>
    <row r="1207" spans="1:210" x14ac:dyDescent="0.25">
      <c r="A1207" s="265" t="s">
        <v>2288</v>
      </c>
      <c r="B1207" s="18" t="s">
        <v>2281</v>
      </c>
      <c r="C1207" s="1">
        <v>-10200</v>
      </c>
      <c r="D1207" s="265"/>
      <c r="E1207" s="265"/>
      <c r="F1207" s="265"/>
      <c r="G1207" s="265"/>
      <c r="EY1207" s="1">
        <v>200</v>
      </c>
      <c r="HB1207" s="1">
        <v>10000</v>
      </c>
    </row>
    <row r="1208" spans="1:210" x14ac:dyDescent="0.25">
      <c r="A1208" s="265" t="s">
        <v>2288</v>
      </c>
      <c r="B1208" s="18" t="s">
        <v>2282</v>
      </c>
      <c r="C1208" s="1">
        <v>-10200</v>
      </c>
      <c r="D1208" s="265"/>
      <c r="E1208" s="265"/>
      <c r="F1208" s="265"/>
      <c r="G1208" s="265"/>
      <c r="EY1208" s="1">
        <v>200</v>
      </c>
      <c r="HA1208" s="1">
        <v>10000</v>
      </c>
    </row>
    <row r="1209" spans="1:210" x14ac:dyDescent="0.25">
      <c r="A1209" s="266" t="s">
        <v>2242</v>
      </c>
      <c r="B1209" s="173" t="s">
        <v>2294</v>
      </c>
      <c r="C1209" s="1">
        <v>-4200</v>
      </c>
      <c r="D1209" s="265"/>
      <c r="E1209" s="265"/>
      <c r="F1209" s="265"/>
      <c r="G1209" s="265"/>
      <c r="FR1209" s="1">
        <v>4200</v>
      </c>
    </row>
    <row r="1210" spans="1:210" x14ac:dyDescent="0.25">
      <c r="A1210" s="266" t="s">
        <v>2242</v>
      </c>
      <c r="B1210" s="18" t="s">
        <v>2307</v>
      </c>
      <c r="C1210" s="1">
        <v>-16320</v>
      </c>
      <c r="D1210" s="265"/>
      <c r="E1210" s="265"/>
      <c r="F1210" s="265"/>
      <c r="G1210" s="265"/>
      <c r="EY1210" s="1">
        <v>320</v>
      </c>
      <c r="GF1210" s="1">
        <v>16000</v>
      </c>
    </row>
    <row r="1211" spans="1:210" x14ac:dyDescent="0.25">
      <c r="A1211" s="266" t="s">
        <v>2242</v>
      </c>
      <c r="B1211" s="18" t="s">
        <v>2295</v>
      </c>
      <c r="C1211" s="1">
        <v>-200</v>
      </c>
      <c r="D1211" s="266"/>
      <c r="E1211" s="266"/>
      <c r="F1211" s="266"/>
      <c r="G1211" s="266"/>
      <c r="EK1211" s="1">
        <v>200</v>
      </c>
    </row>
    <row r="1212" spans="1:210" x14ac:dyDescent="0.25">
      <c r="A1212" s="266" t="s">
        <v>2242</v>
      </c>
      <c r="B1212" s="18" t="s">
        <v>2296</v>
      </c>
      <c r="C1212" s="1">
        <v>-50000</v>
      </c>
      <c r="D1212" s="266"/>
      <c r="E1212" s="266"/>
      <c r="F1212" s="266"/>
      <c r="G1212" s="266"/>
      <c r="HA1212" s="1">
        <v>50000</v>
      </c>
      <c r="HB1212" s="1">
        <v>0</v>
      </c>
    </row>
    <row r="1213" spans="1:210" x14ac:dyDescent="0.25">
      <c r="A1213" s="266" t="s">
        <v>2242</v>
      </c>
      <c r="B1213" s="18" t="s">
        <v>2297</v>
      </c>
      <c r="C1213" s="1">
        <v>-20000</v>
      </c>
      <c r="D1213" s="266"/>
      <c r="E1213" s="266"/>
      <c r="F1213" s="266"/>
      <c r="G1213" s="266"/>
      <c r="FH1213" s="1">
        <v>0</v>
      </c>
      <c r="HB1213" s="1">
        <v>20000</v>
      </c>
    </row>
    <row r="1214" spans="1:210" x14ac:dyDescent="0.25">
      <c r="A1214" s="266" t="s">
        <v>2242</v>
      </c>
      <c r="B1214" s="173" t="s">
        <v>2298</v>
      </c>
      <c r="C1214" s="1">
        <v>-70</v>
      </c>
      <c r="D1214" s="265"/>
      <c r="E1214" s="265"/>
      <c r="F1214" s="265"/>
      <c r="G1214" s="265"/>
      <c r="EP1214" s="1">
        <v>70</v>
      </c>
    </row>
    <row r="1215" spans="1:210" x14ac:dyDescent="0.25">
      <c r="A1215" s="266" t="s">
        <v>2242</v>
      </c>
      <c r="B1215" s="173" t="s">
        <v>2299</v>
      </c>
      <c r="C1215" s="1">
        <v>-70</v>
      </c>
      <c r="D1215" s="266"/>
      <c r="E1215" s="266"/>
      <c r="F1215" s="266"/>
      <c r="G1215" s="266"/>
      <c r="FE1215" s="1">
        <v>70</v>
      </c>
    </row>
    <row r="1216" spans="1:210" x14ac:dyDescent="0.25">
      <c r="A1216" s="266" t="s">
        <v>2242</v>
      </c>
      <c r="B1216" s="173" t="s">
        <v>2300</v>
      </c>
      <c r="C1216" s="1">
        <v>-200</v>
      </c>
      <c r="D1216" s="266"/>
      <c r="E1216" s="266"/>
      <c r="F1216" s="266"/>
      <c r="G1216" s="266"/>
      <c r="ES1216" s="1">
        <v>200</v>
      </c>
    </row>
    <row r="1217" spans="1:239" x14ac:dyDescent="0.25">
      <c r="A1217" s="266" t="s">
        <v>2242</v>
      </c>
      <c r="B1217" s="173" t="s">
        <v>2301</v>
      </c>
      <c r="C1217" s="1">
        <v>-270</v>
      </c>
      <c r="D1217" s="266"/>
      <c r="E1217" s="266"/>
      <c r="F1217" s="266"/>
      <c r="G1217" s="266"/>
      <c r="FC1217" s="1">
        <v>270</v>
      </c>
    </row>
    <row r="1218" spans="1:239" ht="19.5" customHeight="1" x14ac:dyDescent="0.25">
      <c r="A1218" s="266" t="s">
        <v>2242</v>
      </c>
      <c r="B1218" s="173" t="s">
        <v>2302</v>
      </c>
      <c r="C1218" s="1">
        <v>-25000</v>
      </c>
      <c r="D1218" s="266"/>
      <c r="E1218" s="266"/>
      <c r="F1218" s="266"/>
      <c r="G1218" s="266"/>
    </row>
    <row r="1219" spans="1:239" x14ac:dyDescent="0.25">
      <c r="A1219" s="266" t="s">
        <v>2242</v>
      </c>
      <c r="B1219" s="173" t="s">
        <v>2366</v>
      </c>
      <c r="C1219" s="1">
        <v>-17000</v>
      </c>
      <c r="D1219" s="266"/>
      <c r="E1219" s="266"/>
      <c r="F1219" s="266"/>
      <c r="G1219" s="266"/>
      <c r="GX1219" s="1">
        <v>17000</v>
      </c>
    </row>
    <row r="1220" spans="1:239" x14ac:dyDescent="0.25">
      <c r="A1220" s="266" t="s">
        <v>2242</v>
      </c>
      <c r="B1220" s="173" t="s">
        <v>2304</v>
      </c>
      <c r="C1220" s="1">
        <v>-9000</v>
      </c>
      <c r="D1220" s="266"/>
      <c r="E1220" s="266"/>
      <c r="F1220" s="266"/>
      <c r="G1220" s="266"/>
      <c r="GY1220" s="1">
        <v>9000</v>
      </c>
    </row>
    <row r="1221" spans="1:239" x14ac:dyDescent="0.25">
      <c r="A1221" s="266" t="s">
        <v>2242</v>
      </c>
      <c r="B1221" s="173" t="s">
        <v>2305</v>
      </c>
      <c r="C1221" s="1">
        <v>-500</v>
      </c>
      <c r="D1221" s="266"/>
      <c r="E1221" s="266"/>
      <c r="F1221" s="266"/>
      <c r="G1221" s="266"/>
      <c r="GZ1221" s="1">
        <v>500</v>
      </c>
    </row>
    <row r="1222" spans="1:239" x14ac:dyDescent="0.25">
      <c r="A1222" s="266" t="s">
        <v>2242</v>
      </c>
      <c r="B1222" s="173" t="s">
        <v>2306</v>
      </c>
      <c r="C1222" s="1">
        <v>-530</v>
      </c>
      <c r="D1222" s="266"/>
      <c r="E1222" s="266"/>
      <c r="F1222" s="266"/>
      <c r="G1222" s="266"/>
      <c r="GP1222" s="1">
        <v>530</v>
      </c>
    </row>
    <row r="1223" spans="1:239" x14ac:dyDescent="0.25">
      <c r="A1223" s="265"/>
      <c r="D1223" s="265"/>
      <c r="E1223" s="265"/>
      <c r="F1223" s="265"/>
      <c r="G1223" s="265"/>
    </row>
    <row r="1225" spans="1:239" x14ac:dyDescent="0.25">
      <c r="A1225" s="253" t="s">
        <v>2242</v>
      </c>
      <c r="B1225" s="85" t="s">
        <v>2303</v>
      </c>
      <c r="C1225" s="1">
        <f>SUM(C1163:C1224)</f>
        <v>479892</v>
      </c>
      <c r="D1225" s="1">
        <f>SUM(D1163:D1224)</f>
        <v>0</v>
      </c>
      <c r="E1225" s="1">
        <f>SUM(E1163:E1224)</f>
        <v>6000</v>
      </c>
      <c r="F1225" s="1">
        <f>SUM(F1163:F1224)</f>
        <v>0</v>
      </c>
      <c r="G1225" s="1"/>
      <c r="H1225" s="1">
        <f t="shared" ref="H1225:AM1225" si="48">SUM(H1163:H1224)</f>
        <v>-1600000</v>
      </c>
      <c r="I1225" s="1">
        <f t="shared" si="48"/>
        <v>0</v>
      </c>
      <c r="J1225" s="1">
        <f t="shared" si="48"/>
        <v>0</v>
      </c>
      <c r="K1225" s="1">
        <f t="shared" si="48"/>
        <v>0</v>
      </c>
      <c r="L1225" s="1">
        <f t="shared" si="48"/>
        <v>0</v>
      </c>
      <c r="M1225" s="1">
        <f t="shared" si="48"/>
        <v>0</v>
      </c>
      <c r="N1225" s="1">
        <f t="shared" si="48"/>
        <v>0</v>
      </c>
      <c r="O1225" s="1">
        <f t="shared" si="48"/>
        <v>0</v>
      </c>
      <c r="P1225" s="1">
        <f t="shared" si="48"/>
        <v>0</v>
      </c>
      <c r="Q1225" s="1">
        <f t="shared" si="48"/>
        <v>0</v>
      </c>
      <c r="R1225" s="1">
        <f t="shared" si="48"/>
        <v>0</v>
      </c>
      <c r="S1225" s="1">
        <f t="shared" si="48"/>
        <v>0</v>
      </c>
      <c r="T1225" s="1">
        <f t="shared" si="48"/>
        <v>0</v>
      </c>
      <c r="U1225" s="1">
        <f t="shared" si="48"/>
        <v>0</v>
      </c>
      <c r="V1225" s="1">
        <f t="shared" si="48"/>
        <v>0</v>
      </c>
      <c r="W1225" s="1">
        <f t="shared" si="48"/>
        <v>0</v>
      </c>
      <c r="X1225" s="1">
        <f t="shared" si="48"/>
        <v>0</v>
      </c>
      <c r="Y1225" s="1">
        <f t="shared" si="48"/>
        <v>0</v>
      </c>
      <c r="Z1225" s="1">
        <f t="shared" si="48"/>
        <v>0</v>
      </c>
      <c r="AA1225" s="1">
        <f t="shared" si="48"/>
        <v>0</v>
      </c>
      <c r="AB1225" s="1">
        <f t="shared" si="48"/>
        <v>72</v>
      </c>
      <c r="AC1225" s="1">
        <f t="shared" si="48"/>
        <v>25204</v>
      </c>
      <c r="AD1225" s="1">
        <f t="shared" si="48"/>
        <v>0</v>
      </c>
      <c r="AE1225" s="1">
        <f t="shared" si="48"/>
        <v>0</v>
      </c>
      <c r="AF1225" s="1">
        <f t="shared" si="48"/>
        <v>1212</v>
      </c>
      <c r="AG1225" s="1">
        <f t="shared" si="48"/>
        <v>3250000</v>
      </c>
      <c r="AH1225" s="1">
        <f t="shared" si="48"/>
        <v>0</v>
      </c>
      <c r="AI1225" s="1">
        <f t="shared" si="48"/>
        <v>0</v>
      </c>
      <c r="AJ1225" s="1">
        <f t="shared" si="48"/>
        <v>0</v>
      </c>
      <c r="AK1225" s="1">
        <f t="shared" si="48"/>
        <v>29000</v>
      </c>
      <c r="AL1225" s="1">
        <f t="shared" si="48"/>
        <v>49624</v>
      </c>
      <c r="AM1225" s="1">
        <f t="shared" si="48"/>
        <v>40000</v>
      </c>
      <c r="AN1225" s="1">
        <f t="shared" ref="AN1225:BS1225" si="49">SUM(AN1163:AN1224)</f>
        <v>0</v>
      </c>
      <c r="AO1225" s="1">
        <f t="shared" si="49"/>
        <v>20200</v>
      </c>
      <c r="AP1225" s="1">
        <f t="shared" si="49"/>
        <v>0</v>
      </c>
      <c r="AQ1225" s="1">
        <f t="shared" si="49"/>
        <v>0</v>
      </c>
      <c r="AR1225" s="1">
        <f t="shared" si="49"/>
        <v>59400</v>
      </c>
      <c r="AS1225" s="1">
        <f t="shared" si="49"/>
        <v>2278667</v>
      </c>
      <c r="AT1225" s="1">
        <f t="shared" si="49"/>
        <v>2400000</v>
      </c>
      <c r="AU1225" s="1">
        <f t="shared" si="49"/>
        <v>0</v>
      </c>
      <c r="AV1225" s="1">
        <f t="shared" si="49"/>
        <v>0</v>
      </c>
      <c r="AW1225" s="1">
        <f t="shared" si="49"/>
        <v>0</v>
      </c>
      <c r="AX1225" s="1">
        <f t="shared" si="49"/>
        <v>0</v>
      </c>
      <c r="AY1225" s="1">
        <f t="shared" si="49"/>
        <v>0</v>
      </c>
      <c r="AZ1225" s="1">
        <f t="shared" si="49"/>
        <v>170000</v>
      </c>
      <c r="BA1225" s="1">
        <f t="shared" si="49"/>
        <v>120000</v>
      </c>
      <c r="BB1225" s="1">
        <f t="shared" si="49"/>
        <v>53500</v>
      </c>
      <c r="BC1225" s="1">
        <f t="shared" si="49"/>
        <v>0</v>
      </c>
      <c r="BD1225" s="1">
        <f t="shared" si="49"/>
        <v>0</v>
      </c>
      <c r="BE1225" s="1">
        <f t="shared" si="49"/>
        <v>22000</v>
      </c>
      <c r="BF1225" s="1">
        <f t="shared" si="49"/>
        <v>127592</v>
      </c>
      <c r="BG1225" s="1">
        <f t="shared" si="49"/>
        <v>230000</v>
      </c>
      <c r="BH1225" s="1">
        <f t="shared" si="49"/>
        <v>0</v>
      </c>
      <c r="BI1225" s="1">
        <f t="shared" si="49"/>
        <v>0</v>
      </c>
      <c r="BJ1225" s="1">
        <f t="shared" si="49"/>
        <v>0</v>
      </c>
      <c r="BK1225" s="1">
        <f t="shared" si="49"/>
        <v>1400000</v>
      </c>
      <c r="BL1225" s="1">
        <f t="shared" si="49"/>
        <v>0</v>
      </c>
      <c r="BM1225" s="1">
        <f t="shared" si="49"/>
        <v>0</v>
      </c>
      <c r="BN1225" s="1">
        <f t="shared" si="49"/>
        <v>0</v>
      </c>
      <c r="BO1225" s="1">
        <f t="shared" si="49"/>
        <v>250000</v>
      </c>
      <c r="BP1225" s="1">
        <f t="shared" si="49"/>
        <v>0</v>
      </c>
      <c r="BQ1225" s="1">
        <f t="shared" si="49"/>
        <v>0</v>
      </c>
      <c r="BR1225" s="1">
        <f t="shared" si="49"/>
        <v>0</v>
      </c>
      <c r="BS1225" s="1">
        <f t="shared" si="49"/>
        <v>0</v>
      </c>
      <c r="BT1225" s="1">
        <f t="shared" ref="BT1225:DB1225" si="50">SUM(BT1163:BT1224)</f>
        <v>0</v>
      </c>
      <c r="BU1225" s="1">
        <f t="shared" si="50"/>
        <v>0</v>
      </c>
      <c r="BV1225" s="1">
        <f t="shared" si="50"/>
        <v>0</v>
      </c>
      <c r="BW1225" s="1">
        <f t="shared" si="50"/>
        <v>0</v>
      </c>
      <c r="BX1225" s="1">
        <f t="shared" si="50"/>
        <v>0</v>
      </c>
      <c r="BY1225" s="1">
        <f t="shared" si="50"/>
        <v>0</v>
      </c>
      <c r="BZ1225" s="1">
        <f t="shared" si="50"/>
        <v>0</v>
      </c>
      <c r="CA1225" s="1">
        <f t="shared" si="50"/>
        <v>0</v>
      </c>
      <c r="CB1225" s="1">
        <f t="shared" si="50"/>
        <v>0</v>
      </c>
      <c r="CC1225" s="1">
        <f t="shared" si="50"/>
        <v>0</v>
      </c>
      <c r="CD1225" s="1">
        <f t="shared" si="50"/>
        <v>0</v>
      </c>
      <c r="CE1225" s="1">
        <f t="shared" si="50"/>
        <v>0</v>
      </c>
      <c r="CF1225" s="1">
        <f t="shared" si="50"/>
        <v>0</v>
      </c>
      <c r="CG1225" s="1">
        <f t="shared" si="50"/>
        <v>0</v>
      </c>
      <c r="CH1225" s="1">
        <f t="shared" si="50"/>
        <v>0</v>
      </c>
      <c r="CI1225" s="1">
        <f t="shared" si="50"/>
        <v>0</v>
      </c>
      <c r="CJ1225" s="1">
        <f t="shared" si="50"/>
        <v>0</v>
      </c>
      <c r="CK1225" s="1">
        <f t="shared" si="50"/>
        <v>0</v>
      </c>
      <c r="CL1225" s="1">
        <f t="shared" si="50"/>
        <v>0</v>
      </c>
      <c r="CM1225" s="1">
        <f t="shared" si="50"/>
        <v>0</v>
      </c>
      <c r="CN1225" s="1">
        <f t="shared" si="50"/>
        <v>0</v>
      </c>
      <c r="CO1225" s="1">
        <f t="shared" si="50"/>
        <v>80</v>
      </c>
      <c r="CR1225" s="1">
        <f t="shared" si="50"/>
        <v>0</v>
      </c>
      <c r="CS1225" s="1">
        <f t="shared" si="50"/>
        <v>4000</v>
      </c>
      <c r="CT1225" s="1">
        <f t="shared" si="50"/>
        <v>0</v>
      </c>
      <c r="CV1225" s="1">
        <f t="shared" si="50"/>
        <v>0</v>
      </c>
      <c r="CW1225" s="1">
        <f t="shared" si="50"/>
        <v>0</v>
      </c>
      <c r="CX1225" s="1">
        <f t="shared" si="50"/>
        <v>0</v>
      </c>
      <c r="CY1225" s="1">
        <f t="shared" si="50"/>
        <v>0</v>
      </c>
      <c r="CZ1225" s="1">
        <f t="shared" si="50"/>
        <v>9000</v>
      </c>
      <c r="DA1225" s="1">
        <f t="shared" si="50"/>
        <v>32000</v>
      </c>
      <c r="DB1225" s="1">
        <f t="shared" si="50"/>
        <v>0</v>
      </c>
      <c r="DC1225" s="1">
        <f t="shared" ref="DC1225:EI1225" si="51">SUM(DC1163:DC1224)</f>
        <v>103387</v>
      </c>
      <c r="DD1225" s="1">
        <f t="shared" si="51"/>
        <v>100000</v>
      </c>
      <c r="DE1225" s="1">
        <f t="shared" si="51"/>
        <v>12500</v>
      </c>
      <c r="DF1225" s="1">
        <f t="shared" si="51"/>
        <v>0</v>
      </c>
      <c r="DG1225" s="1">
        <f t="shared" si="51"/>
        <v>0</v>
      </c>
      <c r="DI1225" s="1">
        <f t="shared" si="51"/>
        <v>100000</v>
      </c>
      <c r="DJ1225" s="1">
        <f t="shared" si="51"/>
        <v>0</v>
      </c>
      <c r="DK1225" s="1">
        <f t="shared" si="51"/>
        <v>613390</v>
      </c>
      <c r="DL1225" s="1">
        <f t="shared" si="51"/>
        <v>157680</v>
      </c>
      <c r="DM1225" s="1">
        <f t="shared" si="51"/>
        <v>53700</v>
      </c>
      <c r="DN1225" s="1">
        <f t="shared" si="51"/>
        <v>27500</v>
      </c>
      <c r="DO1225" s="1">
        <f t="shared" si="51"/>
        <v>685600</v>
      </c>
      <c r="DP1225" s="1">
        <f t="shared" si="51"/>
        <v>64240</v>
      </c>
      <c r="DQ1225" s="1">
        <f t="shared" si="51"/>
        <v>0</v>
      </c>
      <c r="DR1225" s="1">
        <f t="shared" si="51"/>
        <v>0</v>
      </c>
      <c r="DS1225" s="1">
        <f t="shared" si="51"/>
        <v>0</v>
      </c>
      <c r="DT1225" s="1">
        <f t="shared" si="51"/>
        <v>1533000</v>
      </c>
      <c r="DU1225" s="1">
        <f t="shared" si="51"/>
        <v>185000</v>
      </c>
      <c r="DV1225" s="1">
        <f t="shared" si="51"/>
        <v>0</v>
      </c>
      <c r="DW1225" s="1">
        <f t="shared" si="51"/>
        <v>18500</v>
      </c>
      <c r="DX1225" s="1">
        <f t="shared" si="51"/>
        <v>0</v>
      </c>
      <c r="DY1225" s="1">
        <f t="shared" si="51"/>
        <v>0</v>
      </c>
      <c r="DZ1225" s="1">
        <f t="shared" si="51"/>
        <v>15000</v>
      </c>
      <c r="EA1225" s="1">
        <f t="shared" si="51"/>
        <v>4500</v>
      </c>
      <c r="EB1225" s="1">
        <f t="shared" si="51"/>
        <v>220000</v>
      </c>
      <c r="EC1225" s="1">
        <f t="shared" si="51"/>
        <v>0</v>
      </c>
      <c r="ED1225" s="1">
        <f t="shared" si="51"/>
        <v>0</v>
      </c>
      <c r="EE1225" s="1">
        <f t="shared" si="51"/>
        <v>0</v>
      </c>
      <c r="EF1225" s="1">
        <f t="shared" si="51"/>
        <v>0</v>
      </c>
      <c r="EG1225" s="1">
        <f t="shared" si="51"/>
        <v>555</v>
      </c>
      <c r="EH1225" s="1">
        <f t="shared" si="51"/>
        <v>0</v>
      </c>
      <c r="EI1225" s="1">
        <f t="shared" si="51"/>
        <v>816944</v>
      </c>
      <c r="EJ1225" s="1">
        <f t="shared" ref="EJ1225:FO1225" si="52">SUM(EJ1163:EJ1224)</f>
        <v>193040</v>
      </c>
      <c r="EK1225" s="1">
        <f t="shared" si="52"/>
        <v>24670</v>
      </c>
      <c r="EL1225" s="1">
        <f t="shared" si="52"/>
        <v>16470</v>
      </c>
      <c r="EM1225" s="1">
        <f t="shared" si="52"/>
        <v>25400</v>
      </c>
      <c r="EN1225" s="1">
        <f t="shared" si="52"/>
        <v>1797500</v>
      </c>
      <c r="EO1225" s="1">
        <f t="shared" si="52"/>
        <v>0</v>
      </c>
      <c r="EP1225" s="1">
        <f t="shared" si="52"/>
        <v>503</v>
      </c>
      <c r="EQ1225" s="1">
        <f t="shared" si="52"/>
        <v>5360</v>
      </c>
      <c r="ER1225" s="1">
        <f t="shared" si="52"/>
        <v>22200</v>
      </c>
      <c r="ES1225" s="1">
        <f t="shared" si="52"/>
        <v>6190221</v>
      </c>
      <c r="ET1225" s="1">
        <f t="shared" si="52"/>
        <v>0</v>
      </c>
      <c r="EU1225" s="1">
        <f t="shared" si="52"/>
        <v>0</v>
      </c>
      <c r="EV1225" s="1">
        <f t="shared" si="52"/>
        <v>0</v>
      </c>
      <c r="EW1225" s="1">
        <f t="shared" si="52"/>
        <v>0</v>
      </c>
      <c r="EX1225" s="1">
        <f t="shared" si="52"/>
        <v>685</v>
      </c>
      <c r="EY1225" s="1">
        <f t="shared" si="52"/>
        <v>1680</v>
      </c>
      <c r="EZ1225" s="1">
        <f t="shared" si="52"/>
        <v>0</v>
      </c>
      <c r="FA1225" s="1">
        <f t="shared" si="52"/>
        <v>541</v>
      </c>
      <c r="FB1225" s="1">
        <f t="shared" si="52"/>
        <v>0</v>
      </c>
      <c r="FC1225" s="1">
        <f t="shared" si="52"/>
        <v>332966</v>
      </c>
      <c r="FD1225" s="1">
        <f t="shared" si="52"/>
        <v>24760</v>
      </c>
      <c r="FE1225" s="1">
        <f t="shared" si="52"/>
        <v>133788</v>
      </c>
      <c r="FF1225" s="1">
        <f t="shared" si="52"/>
        <v>0</v>
      </c>
      <c r="FG1225" s="1">
        <f t="shared" si="52"/>
        <v>0</v>
      </c>
      <c r="FH1225" s="1">
        <f t="shared" si="52"/>
        <v>50000</v>
      </c>
      <c r="FI1225" s="1">
        <f t="shared" si="52"/>
        <v>698000</v>
      </c>
      <c r="FJ1225" s="1">
        <f t="shared" si="52"/>
        <v>46790</v>
      </c>
      <c r="FK1225" s="1">
        <f t="shared" si="52"/>
        <v>7300</v>
      </c>
      <c r="FL1225" s="1">
        <f t="shared" si="52"/>
        <v>1756</v>
      </c>
      <c r="FM1225" s="1">
        <f t="shared" si="52"/>
        <v>0</v>
      </c>
      <c r="FN1225" s="1">
        <f t="shared" si="52"/>
        <v>0</v>
      </c>
      <c r="FO1225" s="1">
        <f t="shared" si="52"/>
        <v>0</v>
      </c>
      <c r="FP1225" s="1">
        <f t="shared" ref="FP1225:GY1225" si="53">SUM(FP1163:FP1224)</f>
        <v>0</v>
      </c>
      <c r="FQ1225" s="1">
        <f t="shared" si="53"/>
        <v>0</v>
      </c>
      <c r="FR1225" s="1">
        <f t="shared" si="53"/>
        <v>6180</v>
      </c>
      <c r="FS1225" s="1">
        <f t="shared" si="53"/>
        <v>4519</v>
      </c>
      <c r="FT1225" s="1">
        <f t="shared" si="53"/>
        <v>0</v>
      </c>
      <c r="FU1225" s="1">
        <f t="shared" si="53"/>
        <v>0</v>
      </c>
      <c r="FV1225" s="1">
        <f t="shared" si="53"/>
        <v>0</v>
      </c>
      <c r="FW1225" s="1">
        <f t="shared" si="53"/>
        <v>0</v>
      </c>
      <c r="FX1225" s="1">
        <f t="shared" si="53"/>
        <v>0</v>
      </c>
      <c r="FY1225" s="1">
        <f t="shared" si="53"/>
        <v>0</v>
      </c>
      <c r="FZ1225" s="1">
        <f t="shared" si="53"/>
        <v>150</v>
      </c>
      <c r="GA1225" s="1">
        <f t="shared" si="53"/>
        <v>32500</v>
      </c>
      <c r="GB1225" s="1">
        <f t="shared" si="53"/>
        <v>19880</v>
      </c>
      <c r="GC1225" s="1">
        <f t="shared" si="53"/>
        <v>0</v>
      </c>
      <c r="GD1225" s="1">
        <f t="shared" si="53"/>
        <v>-200000</v>
      </c>
      <c r="GF1225" s="1">
        <f t="shared" si="53"/>
        <v>26000</v>
      </c>
      <c r="GJ1225" s="1">
        <f t="shared" si="53"/>
        <v>0</v>
      </c>
      <c r="GK1225" s="1">
        <f t="shared" si="53"/>
        <v>0</v>
      </c>
      <c r="GL1225" s="1">
        <f t="shared" si="53"/>
        <v>0</v>
      </c>
      <c r="GM1225" s="1">
        <f t="shared" si="53"/>
        <v>0</v>
      </c>
      <c r="GN1225" s="1">
        <f t="shared" si="53"/>
        <v>0</v>
      </c>
      <c r="GO1225" s="1">
        <f t="shared" si="53"/>
        <v>0</v>
      </c>
      <c r="GP1225" s="1">
        <f t="shared" si="53"/>
        <v>530</v>
      </c>
      <c r="GR1225" s="1">
        <f t="shared" si="53"/>
        <v>0</v>
      </c>
      <c r="GS1225" s="1">
        <f t="shared" si="53"/>
        <v>0</v>
      </c>
      <c r="GT1225" s="1">
        <f t="shared" si="53"/>
        <v>0</v>
      </c>
      <c r="GU1225" s="1">
        <f t="shared" si="53"/>
        <v>0</v>
      </c>
      <c r="GV1225" s="1">
        <f t="shared" si="53"/>
        <v>0</v>
      </c>
      <c r="GW1225" s="1">
        <f t="shared" si="53"/>
        <v>0</v>
      </c>
      <c r="GX1225" s="1">
        <f t="shared" si="53"/>
        <v>17000</v>
      </c>
      <c r="GY1225" s="1">
        <f t="shared" si="53"/>
        <v>9000</v>
      </c>
      <c r="GZ1225" s="1">
        <f t="shared" ref="GZ1225:IE1225" si="54">SUM(GZ1163:GZ1224)</f>
        <v>500</v>
      </c>
      <c r="HA1225" s="1">
        <f t="shared" si="54"/>
        <v>105000</v>
      </c>
      <c r="HB1225" s="1">
        <f t="shared" si="54"/>
        <v>50000</v>
      </c>
      <c r="HC1225" s="1">
        <f t="shared" si="54"/>
        <v>0</v>
      </c>
      <c r="HD1225" s="1">
        <f t="shared" si="54"/>
        <v>0</v>
      </c>
      <c r="HE1225" s="1">
        <f t="shared" si="54"/>
        <v>0</v>
      </c>
      <c r="HF1225" s="1">
        <f t="shared" si="54"/>
        <v>0</v>
      </c>
      <c r="HG1225" s="1">
        <f t="shared" si="54"/>
        <v>0</v>
      </c>
      <c r="HH1225" s="1">
        <f t="shared" si="54"/>
        <v>-500000</v>
      </c>
      <c r="HI1225" s="1">
        <f t="shared" si="54"/>
        <v>0</v>
      </c>
      <c r="HJ1225" s="1">
        <f t="shared" si="54"/>
        <v>0</v>
      </c>
      <c r="HK1225" s="1">
        <f t="shared" si="54"/>
        <v>0</v>
      </c>
      <c r="HL1225" s="1">
        <f t="shared" si="54"/>
        <v>0</v>
      </c>
      <c r="HM1225" s="1">
        <f t="shared" si="54"/>
        <v>0</v>
      </c>
      <c r="HN1225" s="1">
        <f t="shared" si="54"/>
        <v>0</v>
      </c>
      <c r="HO1225" s="1">
        <f t="shared" si="54"/>
        <v>0</v>
      </c>
      <c r="HP1225" s="1">
        <f t="shared" si="54"/>
        <v>0</v>
      </c>
      <c r="HQ1225" s="1">
        <f t="shared" si="54"/>
        <v>0</v>
      </c>
      <c r="HR1225" s="1">
        <f t="shared" si="54"/>
        <v>0</v>
      </c>
      <c r="HS1225" s="1">
        <f t="shared" si="54"/>
        <v>0</v>
      </c>
      <c r="HT1225" s="1">
        <f t="shared" si="54"/>
        <v>0</v>
      </c>
      <c r="HU1225" s="1">
        <f t="shared" si="54"/>
        <v>0</v>
      </c>
      <c r="HV1225" s="1">
        <f t="shared" si="54"/>
        <v>0</v>
      </c>
      <c r="HW1225" s="1">
        <f t="shared" si="54"/>
        <v>0</v>
      </c>
      <c r="HX1225" s="1">
        <f t="shared" si="54"/>
        <v>0</v>
      </c>
      <c r="HY1225" s="1">
        <f t="shared" si="54"/>
        <v>0</v>
      </c>
      <c r="HZ1225" s="1">
        <f t="shared" si="54"/>
        <v>0</v>
      </c>
      <c r="IA1225" s="1">
        <f t="shared" si="54"/>
        <v>0</v>
      </c>
      <c r="IB1225" s="1">
        <f t="shared" si="54"/>
        <v>0</v>
      </c>
      <c r="IC1225" s="1">
        <f t="shared" si="54"/>
        <v>0</v>
      </c>
      <c r="ID1225" s="1">
        <f t="shared" si="54"/>
        <v>0</v>
      </c>
      <c r="IE1225" s="1">
        <f t="shared" si="54"/>
        <v>0</v>
      </c>
    </row>
    <row r="1227" spans="1:239" x14ac:dyDescent="0.25">
      <c r="A1227" s="269"/>
      <c r="D1227" s="269"/>
      <c r="E1227" s="269"/>
      <c r="F1227" s="375" t="s">
        <v>2268</v>
      </c>
      <c r="G1227" s="376"/>
      <c r="H1227" s="8"/>
      <c r="I1227" s="377" t="s">
        <v>205</v>
      </c>
      <c r="J1227" s="377"/>
      <c r="K1227" s="377"/>
      <c r="L1227" s="377"/>
      <c r="M1227" s="377"/>
      <c r="N1227" s="377"/>
      <c r="O1227" s="377"/>
      <c r="P1227" s="377"/>
      <c r="Q1227" s="377"/>
      <c r="R1227" s="377"/>
      <c r="S1227" s="377"/>
      <c r="T1227" s="377"/>
      <c r="U1227" s="377"/>
      <c r="V1227" s="377"/>
      <c r="W1227" s="377"/>
      <c r="X1227" s="377"/>
      <c r="Y1227" s="377"/>
      <c r="Z1227" s="378" t="s">
        <v>90</v>
      </c>
      <c r="AA1227" s="378"/>
      <c r="AB1227" s="378"/>
      <c r="AC1227" s="378"/>
      <c r="AD1227" s="378"/>
      <c r="AE1227" s="378"/>
      <c r="AF1227" s="378"/>
      <c r="AG1227" s="378"/>
      <c r="AH1227" s="378"/>
      <c r="AI1227" s="378"/>
      <c r="AJ1227" s="378"/>
      <c r="AK1227" s="378"/>
      <c r="AL1227" s="378"/>
      <c r="AM1227" s="378"/>
      <c r="AN1227" s="378"/>
      <c r="AO1227" s="378"/>
      <c r="AP1227" s="378"/>
      <c r="AQ1227" s="378"/>
      <c r="AR1227" s="378"/>
      <c r="AS1227" s="378"/>
      <c r="AT1227" s="378"/>
      <c r="AU1227" s="378"/>
      <c r="AV1227" s="378"/>
      <c r="AW1227" s="378"/>
      <c r="AX1227" s="378"/>
      <c r="AY1227" s="378"/>
      <c r="AZ1227" s="378"/>
      <c r="BA1227" s="378"/>
      <c r="BB1227" s="378"/>
      <c r="BC1227" s="378"/>
      <c r="BD1227" s="378"/>
      <c r="BE1227" s="378"/>
      <c r="BF1227" s="378"/>
      <c r="BG1227" s="378"/>
      <c r="BH1227" s="378"/>
      <c r="BI1227" s="379" t="s">
        <v>77</v>
      </c>
      <c r="BJ1227" s="379"/>
      <c r="BK1227" s="379"/>
      <c r="BL1227" s="379"/>
      <c r="BM1227" s="379"/>
      <c r="BN1227" s="377" t="s">
        <v>65</v>
      </c>
      <c r="BO1227" s="377"/>
      <c r="BP1227" s="377"/>
      <c r="BQ1227" s="378" t="s">
        <v>15</v>
      </c>
      <c r="BR1227" s="378"/>
      <c r="BS1227" s="378"/>
      <c r="BT1227" s="378"/>
      <c r="BU1227" s="378"/>
      <c r="BV1227" s="378"/>
      <c r="BW1227" s="378"/>
      <c r="BX1227" s="378"/>
      <c r="BY1227" s="378"/>
      <c r="BZ1227" s="378"/>
      <c r="CA1227" s="378"/>
      <c r="CB1227" s="378"/>
      <c r="CC1227" s="378"/>
      <c r="CD1227" s="378"/>
      <c r="CE1227" s="378" t="s">
        <v>4</v>
      </c>
      <c r="CF1227" s="378"/>
      <c r="CG1227" s="378"/>
      <c r="CH1227" s="378"/>
      <c r="CI1227" s="378"/>
      <c r="CJ1227" s="378"/>
      <c r="CK1227" s="378"/>
      <c r="CL1227" s="378"/>
      <c r="CM1227" s="378"/>
      <c r="CN1227" s="378"/>
      <c r="CO1227" s="378" t="s">
        <v>21</v>
      </c>
      <c r="CP1227" s="378"/>
      <c r="CQ1227" s="378"/>
      <c r="CR1227" s="378"/>
      <c r="CS1227" s="378"/>
      <c r="CT1227" s="378"/>
      <c r="CU1227" s="378"/>
      <c r="CV1227" s="378"/>
      <c r="CW1227" s="378"/>
      <c r="CX1227" s="378"/>
      <c r="CY1227" s="378"/>
      <c r="CZ1227" s="378"/>
      <c r="DA1227" s="378"/>
      <c r="DB1227" s="378"/>
      <c r="DC1227" s="378"/>
      <c r="DD1227" s="378"/>
      <c r="DE1227" s="378"/>
      <c r="DF1227" s="378"/>
      <c r="DG1227" s="378"/>
      <c r="DH1227" s="378"/>
      <c r="DI1227" s="378"/>
      <c r="DK1227" s="269"/>
      <c r="DL1227" s="269"/>
      <c r="DM1227" s="269"/>
      <c r="DN1227" s="269"/>
      <c r="DO1227" s="269"/>
      <c r="DP1227" s="374" t="s">
        <v>317</v>
      </c>
      <c r="DQ1227" s="374"/>
      <c r="DR1227" s="374"/>
      <c r="DS1227" s="374"/>
      <c r="DT1227" s="374"/>
      <c r="DU1227" s="374"/>
      <c r="DV1227" s="374"/>
      <c r="DW1227" s="374"/>
      <c r="DX1227" s="374"/>
      <c r="DY1227" s="374"/>
      <c r="DZ1227" s="374"/>
      <c r="EA1227" s="374"/>
      <c r="EB1227" s="374"/>
      <c r="EC1227" s="374"/>
      <c r="ED1227" s="374"/>
      <c r="EE1227" s="374"/>
      <c r="EF1227" s="374"/>
      <c r="EG1227" s="374"/>
      <c r="EH1227" s="374"/>
      <c r="EI1227" s="374"/>
      <c r="EJ1227" s="374"/>
      <c r="EK1227" s="374"/>
      <c r="EL1227" s="374"/>
      <c r="EM1227" s="374"/>
      <c r="EN1227" s="374"/>
      <c r="EO1227" s="374"/>
      <c r="EP1227" s="374"/>
      <c r="EQ1227" s="374"/>
      <c r="ER1227" s="374"/>
      <c r="ES1227" s="374"/>
      <c r="ET1227" s="374"/>
      <c r="EU1227" s="374"/>
      <c r="EV1227" s="374"/>
      <c r="EW1227" s="374"/>
      <c r="EX1227" s="374"/>
      <c r="EY1227" s="374"/>
      <c r="EZ1227" s="374"/>
      <c r="FA1227" s="374"/>
      <c r="FB1227" s="374"/>
      <c r="FC1227" s="374"/>
      <c r="FD1227" s="374"/>
      <c r="FE1227" s="374"/>
      <c r="FF1227" s="374"/>
      <c r="FG1227" s="374"/>
      <c r="FH1227" s="374"/>
      <c r="FI1227" s="374"/>
      <c r="FJ1227" s="374"/>
      <c r="FK1227" s="374"/>
      <c r="FL1227" s="374"/>
      <c r="FM1227" s="374"/>
      <c r="FN1227" s="374"/>
      <c r="FO1227" s="374"/>
      <c r="FP1227" s="374"/>
      <c r="FQ1227" s="374"/>
      <c r="FR1227" s="374"/>
      <c r="FS1227" s="374"/>
      <c r="FT1227" s="374"/>
      <c r="FU1227" s="374"/>
      <c r="FV1227" s="374"/>
      <c r="FW1227" s="374"/>
      <c r="FX1227" s="374"/>
      <c r="FY1227" s="270"/>
      <c r="FZ1227" s="270"/>
      <c r="GA1227" s="270"/>
      <c r="GB1227" s="270"/>
      <c r="GC1227" s="270"/>
      <c r="GD1227" s="374"/>
      <c r="GE1227" s="374"/>
      <c r="GF1227" s="374"/>
      <c r="GG1227" s="365"/>
      <c r="GH1227" s="293"/>
      <c r="GI1227" s="276"/>
    </row>
    <row r="1228" spans="1:239" s="269" customFormat="1" x14ac:dyDescent="0.25">
      <c r="A1228" s="269" t="s">
        <v>0</v>
      </c>
      <c r="B1228" s="269" t="s">
        <v>5</v>
      </c>
      <c r="C1228" s="269" t="s">
        <v>89</v>
      </c>
      <c r="D1228" s="269" t="s">
        <v>95</v>
      </c>
      <c r="E1228" s="269" t="s">
        <v>2229</v>
      </c>
      <c r="F1228" s="268" t="s">
        <v>2269</v>
      </c>
      <c r="H1228" s="269" t="s">
        <v>28</v>
      </c>
      <c r="I1228" s="269" t="s">
        <v>382</v>
      </c>
      <c r="J1228" s="269" t="s">
        <v>2044</v>
      </c>
      <c r="K1228" s="269" t="s">
        <v>2045</v>
      </c>
      <c r="L1228" s="269" t="s">
        <v>2046</v>
      </c>
      <c r="M1228" s="269" t="s">
        <v>1548</v>
      </c>
      <c r="N1228" s="269" t="s">
        <v>1658</v>
      </c>
      <c r="O1228" s="269" t="s">
        <v>1660</v>
      </c>
      <c r="P1228" s="269" t="s">
        <v>1659</v>
      </c>
      <c r="Q1228" s="269" t="s">
        <v>705</v>
      </c>
      <c r="R1228" s="269" t="s">
        <v>1661</v>
      </c>
      <c r="S1228" s="269" t="s">
        <v>93</v>
      </c>
      <c r="T1228" s="269" t="s">
        <v>567</v>
      </c>
      <c r="U1228" s="269" t="s">
        <v>1368</v>
      </c>
      <c r="V1228" s="269" t="s">
        <v>353</v>
      </c>
      <c r="W1228" s="269" t="s">
        <v>206</v>
      </c>
      <c r="X1228" s="269" t="s">
        <v>2204</v>
      </c>
      <c r="Y1228" s="269" t="s">
        <v>207</v>
      </c>
      <c r="Z1228" s="269" t="s">
        <v>91</v>
      </c>
      <c r="AA1228" s="269" t="s">
        <v>261</v>
      </c>
      <c r="AB1228" s="269" t="s">
        <v>606</v>
      </c>
      <c r="AC1228" s="269" t="s">
        <v>938</v>
      </c>
      <c r="AD1228" s="269" t="s">
        <v>674</v>
      </c>
      <c r="AE1228" s="269" t="s">
        <v>1565</v>
      </c>
      <c r="AF1228" s="269" t="s">
        <v>1507</v>
      </c>
      <c r="AG1228" s="269" t="s">
        <v>531</v>
      </c>
      <c r="AH1228" s="269" t="s">
        <v>541</v>
      </c>
      <c r="AI1228" s="269" t="s">
        <v>382</v>
      </c>
      <c r="AJ1228" s="269" t="s">
        <v>708</v>
      </c>
      <c r="AK1228" s="269" t="s">
        <v>553</v>
      </c>
      <c r="AL1228" s="269" t="s">
        <v>93</v>
      </c>
      <c r="AM1228" s="269" t="s">
        <v>632</v>
      </c>
      <c r="AN1228" s="269" t="s">
        <v>2191</v>
      </c>
      <c r="AO1228" s="269" t="s">
        <v>931</v>
      </c>
      <c r="AP1228" s="269" t="s">
        <v>1566</v>
      </c>
      <c r="AQ1228" s="269" t="s">
        <v>635</v>
      </c>
      <c r="AR1228" s="269" t="s">
        <v>1425</v>
      </c>
      <c r="AS1228" s="269" t="s">
        <v>1530</v>
      </c>
      <c r="AT1228" s="269" t="s">
        <v>1732</v>
      </c>
      <c r="AU1228" s="269" t="s">
        <v>895</v>
      </c>
      <c r="AV1228" s="269" t="s">
        <v>1459</v>
      </c>
      <c r="AW1228" s="269" t="s">
        <v>1240</v>
      </c>
      <c r="AX1228" s="269" t="s">
        <v>1505</v>
      </c>
      <c r="AY1228" s="269" t="s">
        <v>556</v>
      </c>
      <c r="AZ1228" s="269" t="s">
        <v>1434</v>
      </c>
      <c r="BA1228" s="269" t="s">
        <v>640</v>
      </c>
      <c r="BB1228" s="269" t="s">
        <v>552</v>
      </c>
      <c r="BC1228" s="269" t="s">
        <v>565</v>
      </c>
      <c r="BD1228" s="269" t="s">
        <v>597</v>
      </c>
      <c r="BE1228" s="269" t="s">
        <v>488</v>
      </c>
      <c r="BF1228" s="269" t="s">
        <v>1247</v>
      </c>
      <c r="BG1228" s="269" t="s">
        <v>242</v>
      </c>
      <c r="BH1228" s="269" t="s">
        <v>92</v>
      </c>
      <c r="BI1228" s="269" t="s">
        <v>80</v>
      </c>
      <c r="BJ1228" s="269" t="s">
        <v>1430</v>
      </c>
      <c r="BK1228" s="269" t="s">
        <v>256</v>
      </c>
      <c r="BL1228" s="269" t="s">
        <v>673</v>
      </c>
      <c r="BM1228" s="269" t="s">
        <v>81</v>
      </c>
      <c r="BN1228" s="269" t="s">
        <v>80</v>
      </c>
      <c r="BO1228" s="269" t="s">
        <v>1430</v>
      </c>
      <c r="BP1228" s="269" t="s">
        <v>81</v>
      </c>
      <c r="BQ1228" s="269" t="s">
        <v>226</v>
      </c>
      <c r="BR1228" s="269" t="s">
        <v>69</v>
      </c>
      <c r="BS1228" s="269" t="s">
        <v>84</v>
      </c>
      <c r="BT1228" s="269" t="s">
        <v>76</v>
      </c>
      <c r="BU1228" s="269" t="s">
        <v>38</v>
      </c>
      <c r="BV1228" s="269" t="s">
        <v>271</v>
      </c>
      <c r="BW1228" s="269" t="s">
        <v>34</v>
      </c>
      <c r="BX1228" s="269" t="s">
        <v>35</v>
      </c>
      <c r="BY1228" s="269" t="s">
        <v>6</v>
      </c>
      <c r="BZ1228" s="269" t="s">
        <v>82</v>
      </c>
      <c r="CA1228" s="269" t="s">
        <v>63</v>
      </c>
      <c r="CB1228" s="269" t="s">
        <v>68</v>
      </c>
      <c r="CC1228" s="269" t="s">
        <v>221</v>
      </c>
      <c r="CD1228" s="269" t="s">
        <v>83</v>
      </c>
      <c r="CE1228" s="269" t="s">
        <v>37</v>
      </c>
      <c r="CF1228" s="269" t="s">
        <v>74</v>
      </c>
      <c r="CG1228" s="269" t="s">
        <v>39</v>
      </c>
      <c r="CH1228" s="269" t="s">
        <v>6</v>
      </c>
      <c r="CI1228" s="269" t="s">
        <v>38</v>
      </c>
      <c r="CJ1228" s="269" t="s">
        <v>78</v>
      </c>
      <c r="CK1228" s="269" t="s">
        <v>79</v>
      </c>
      <c r="CL1228" s="269" t="s">
        <v>59</v>
      </c>
      <c r="CM1228" s="269" t="s">
        <v>36</v>
      </c>
      <c r="CN1228" s="269" t="s">
        <v>63</v>
      </c>
      <c r="CO1228" s="269" t="s">
        <v>38</v>
      </c>
      <c r="CP1228" s="338"/>
      <c r="CQ1228" s="347"/>
      <c r="CR1228" s="269" t="s">
        <v>6</v>
      </c>
      <c r="CS1228" s="269" t="s">
        <v>37</v>
      </c>
      <c r="CT1228" s="269" t="s">
        <v>1186</v>
      </c>
      <c r="CU1228" s="359"/>
      <c r="CV1228" s="269" t="s">
        <v>1189</v>
      </c>
      <c r="CW1228" s="269" t="s">
        <v>39</v>
      </c>
      <c r="CX1228" s="269" t="s">
        <v>690</v>
      </c>
      <c r="CY1228" s="269" t="s">
        <v>19</v>
      </c>
      <c r="CZ1228" s="269" t="s">
        <v>2125</v>
      </c>
      <c r="DA1228" s="269" t="s">
        <v>68</v>
      </c>
      <c r="DB1228" s="269" t="s">
        <v>323</v>
      </c>
      <c r="DC1228" s="269" t="s">
        <v>69</v>
      </c>
      <c r="DD1228" s="269" t="s">
        <v>1776</v>
      </c>
      <c r="DE1228" s="269" t="s">
        <v>2065</v>
      </c>
      <c r="DF1228" s="269" t="s">
        <v>377</v>
      </c>
      <c r="DG1228" s="269" t="s">
        <v>1514</v>
      </c>
      <c r="DH1228" s="354"/>
      <c r="DI1228" s="269" t="s">
        <v>62</v>
      </c>
      <c r="DJ1228" s="8" t="s">
        <v>392</v>
      </c>
      <c r="DK1228" s="269" t="s">
        <v>2190</v>
      </c>
      <c r="DL1228" s="269" t="s">
        <v>604</v>
      </c>
      <c r="DM1228" s="269" t="s">
        <v>1132</v>
      </c>
      <c r="DN1228" s="269" t="s">
        <v>1248</v>
      </c>
      <c r="DO1228" s="269" t="s">
        <v>634</v>
      </c>
      <c r="DP1228" s="269" t="s">
        <v>306</v>
      </c>
      <c r="DQ1228" s="269" t="s">
        <v>896</v>
      </c>
      <c r="DR1228" s="66" t="s">
        <v>307</v>
      </c>
      <c r="DS1228" s="269" t="s">
        <v>2141</v>
      </c>
      <c r="DT1228" s="269" t="s">
        <v>2142</v>
      </c>
      <c r="DU1228" s="269" t="s">
        <v>2143</v>
      </c>
      <c r="DV1228" s="269" t="s">
        <v>69</v>
      </c>
      <c r="DW1228" s="269" t="s">
        <v>1672</v>
      </c>
      <c r="DX1228" s="269" t="s">
        <v>84</v>
      </c>
      <c r="DY1228" s="269" t="s">
        <v>712</v>
      </c>
      <c r="DZ1228" s="269" t="s">
        <v>710</v>
      </c>
      <c r="EA1228" s="269" t="s">
        <v>2203</v>
      </c>
      <c r="EB1228" s="269" t="s">
        <v>2093</v>
      </c>
      <c r="EC1228" s="269" t="s">
        <v>1289</v>
      </c>
      <c r="ED1228" s="269" t="s">
        <v>902</v>
      </c>
      <c r="EE1228" s="269" t="s">
        <v>888</v>
      </c>
      <c r="EF1228" s="269" t="s">
        <v>624</v>
      </c>
      <c r="EG1228" s="269" t="s">
        <v>699</v>
      </c>
      <c r="EH1228" s="269" t="s">
        <v>37</v>
      </c>
      <c r="EI1228" s="269" t="s">
        <v>2089</v>
      </c>
      <c r="EJ1228" s="269" t="s">
        <v>76</v>
      </c>
      <c r="EK1228" s="269" t="s">
        <v>38</v>
      </c>
      <c r="EL1228" s="269" t="s">
        <v>611</v>
      </c>
      <c r="EM1228" s="269" t="s">
        <v>612</v>
      </c>
      <c r="EN1228" s="269" t="s">
        <v>613</v>
      </c>
      <c r="EO1228" s="269" t="s">
        <v>620</v>
      </c>
      <c r="EP1228" s="269" t="s">
        <v>377</v>
      </c>
      <c r="EQ1228" s="269" t="s">
        <v>271</v>
      </c>
      <c r="ER1228" s="269" t="s">
        <v>34</v>
      </c>
      <c r="ES1228" s="269" t="s">
        <v>35</v>
      </c>
      <c r="ET1228" s="269" t="s">
        <v>713</v>
      </c>
      <c r="EU1228" s="269" t="s">
        <v>621</v>
      </c>
      <c r="EV1228" s="269" t="s">
        <v>622</v>
      </c>
      <c r="EW1228" s="269" t="s">
        <v>623</v>
      </c>
      <c r="EX1228" s="269" t="s">
        <v>2047</v>
      </c>
      <c r="EY1228" s="269" t="s">
        <v>6</v>
      </c>
      <c r="EZ1228" s="269" t="s">
        <v>603</v>
      </c>
      <c r="FA1228" s="269" t="s">
        <v>618</v>
      </c>
      <c r="FB1228" s="269" t="s">
        <v>1249</v>
      </c>
      <c r="FC1228" s="269" t="s">
        <v>82</v>
      </c>
      <c r="FD1228" s="269" t="s">
        <v>489</v>
      </c>
      <c r="FE1228" s="269" t="s">
        <v>63</v>
      </c>
      <c r="FF1228" s="269" t="s">
        <v>68</v>
      </c>
      <c r="FG1228" s="269" t="s">
        <v>442</v>
      </c>
      <c r="FH1228" s="269" t="s">
        <v>1371</v>
      </c>
      <c r="FI1228" s="269" t="s">
        <v>1593</v>
      </c>
      <c r="FJ1228" s="269" t="s">
        <v>221</v>
      </c>
      <c r="FK1228" s="269" t="s">
        <v>83</v>
      </c>
      <c r="FL1228" s="269" t="s">
        <v>19</v>
      </c>
      <c r="FM1228" s="269" t="s">
        <v>648</v>
      </c>
      <c r="FN1228" s="269" t="s">
        <v>649</v>
      </c>
      <c r="FO1228" s="269" t="s">
        <v>650</v>
      </c>
      <c r="FP1228" s="269" t="s">
        <v>962</v>
      </c>
      <c r="FQ1228" s="269" t="s">
        <v>470</v>
      </c>
      <c r="FR1228" s="269" t="s">
        <v>363</v>
      </c>
      <c r="FS1228" s="269" t="s">
        <v>489</v>
      </c>
      <c r="FT1228" s="269" t="s">
        <v>676</v>
      </c>
      <c r="FU1228" s="269" t="s">
        <v>490</v>
      </c>
      <c r="FV1228" s="269" t="s">
        <v>596</v>
      </c>
      <c r="FW1228" s="269" t="s">
        <v>417</v>
      </c>
      <c r="FX1228" s="269" t="s">
        <v>472</v>
      </c>
      <c r="FY1228" s="269" t="s">
        <v>933</v>
      </c>
      <c r="FZ1228" s="269" t="s">
        <v>1293</v>
      </c>
      <c r="GA1228" s="269" t="s">
        <v>1654</v>
      </c>
      <c r="GB1228" s="269" t="s">
        <v>1655</v>
      </c>
      <c r="GC1228" s="269" t="s">
        <v>1726</v>
      </c>
      <c r="GD1228" s="269" t="s">
        <v>566</v>
      </c>
      <c r="GE1228" s="277"/>
      <c r="GF1228" s="269" t="s">
        <v>2280</v>
      </c>
      <c r="GG1228" s="366"/>
      <c r="GH1228" s="294"/>
      <c r="GI1228" s="277"/>
      <c r="GQ1228" s="314"/>
    </row>
    <row r="1229" spans="1:239" x14ac:dyDescent="0.25">
      <c r="A1229" s="195" t="s">
        <v>2308</v>
      </c>
      <c r="B1229" s="18" t="s">
        <v>1352</v>
      </c>
      <c r="C1229" s="1">
        <v>479892</v>
      </c>
      <c r="D1229" s="220">
        <v>0</v>
      </c>
      <c r="E1229" s="247">
        <v>6000</v>
      </c>
      <c r="F1229" s="260">
        <v>-500000</v>
      </c>
      <c r="H1229" s="1">
        <v>-1600000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0</v>
      </c>
      <c r="Y1229" s="1">
        <v>0</v>
      </c>
      <c r="Z1229" s="1">
        <v>0</v>
      </c>
      <c r="AA1229" s="1">
        <v>0</v>
      </c>
      <c r="AB1229" s="1">
        <v>72</v>
      </c>
      <c r="AC1229" s="1">
        <v>25204</v>
      </c>
      <c r="AD1229" s="1">
        <v>0</v>
      </c>
      <c r="AE1229" s="1">
        <v>0</v>
      </c>
      <c r="AF1229" s="1">
        <v>1212</v>
      </c>
      <c r="AG1229" s="1">
        <v>3250000</v>
      </c>
      <c r="AH1229" s="1">
        <v>0</v>
      </c>
      <c r="AI1229" s="1">
        <v>0</v>
      </c>
      <c r="AJ1229" s="1">
        <v>0</v>
      </c>
      <c r="AK1229" s="1">
        <v>29000</v>
      </c>
      <c r="AL1229" s="1">
        <v>49624</v>
      </c>
      <c r="AM1229" s="1">
        <v>40000</v>
      </c>
      <c r="AN1229" s="1">
        <v>0</v>
      </c>
      <c r="AO1229" s="1">
        <v>20200</v>
      </c>
      <c r="AP1229" s="1">
        <v>0</v>
      </c>
      <c r="AQ1229" s="1">
        <v>0</v>
      </c>
      <c r="AR1229" s="1">
        <v>59400</v>
      </c>
      <c r="AS1229" s="1">
        <v>2278667</v>
      </c>
      <c r="AT1229" s="1">
        <v>2400000</v>
      </c>
      <c r="AU1229" s="1">
        <v>0</v>
      </c>
      <c r="AV1229" s="1">
        <v>0</v>
      </c>
      <c r="AW1229" s="1">
        <v>0</v>
      </c>
      <c r="AX1229" s="1">
        <v>0</v>
      </c>
      <c r="AY1229" s="1">
        <v>0</v>
      </c>
      <c r="AZ1229" s="1">
        <v>170000</v>
      </c>
      <c r="BA1229" s="1">
        <v>120000</v>
      </c>
      <c r="BB1229" s="1">
        <v>53500</v>
      </c>
      <c r="BC1229" s="1">
        <v>0</v>
      </c>
      <c r="BD1229" s="1">
        <v>0</v>
      </c>
      <c r="BE1229" s="1">
        <v>22000</v>
      </c>
      <c r="BF1229" s="1">
        <v>127592</v>
      </c>
      <c r="BG1229" s="1">
        <v>230000</v>
      </c>
      <c r="BH1229" s="1">
        <v>0</v>
      </c>
      <c r="BI1229" s="1">
        <v>0</v>
      </c>
      <c r="BJ1229" s="1">
        <v>0</v>
      </c>
      <c r="BK1229" s="1">
        <v>1400000</v>
      </c>
      <c r="BL1229" s="1">
        <v>0</v>
      </c>
      <c r="BM1229" s="1">
        <v>0</v>
      </c>
      <c r="BN1229" s="1">
        <v>0</v>
      </c>
      <c r="BO1229" s="1">
        <v>250000</v>
      </c>
      <c r="BP1229" s="1">
        <v>0</v>
      </c>
      <c r="BQ1229" s="1">
        <v>0</v>
      </c>
      <c r="BR1229" s="1">
        <v>0</v>
      </c>
      <c r="BS1229" s="1">
        <v>0</v>
      </c>
      <c r="BT1229" s="1">
        <v>0</v>
      </c>
      <c r="BU1229" s="1">
        <v>0</v>
      </c>
      <c r="BV1229" s="1">
        <v>0</v>
      </c>
      <c r="BW1229" s="1">
        <v>0</v>
      </c>
      <c r="BX1229" s="1">
        <v>0</v>
      </c>
      <c r="BY1229" s="1">
        <v>0</v>
      </c>
      <c r="BZ1229" s="1">
        <v>0</v>
      </c>
      <c r="CA1229" s="1">
        <v>0</v>
      </c>
      <c r="CB1229" s="1">
        <v>0</v>
      </c>
      <c r="CC1229" s="1">
        <v>0</v>
      </c>
      <c r="CD1229" s="1">
        <v>0</v>
      </c>
      <c r="CE1229" s="1">
        <v>0</v>
      </c>
      <c r="CF1229" s="1">
        <v>0</v>
      </c>
      <c r="CG1229" s="1">
        <v>0</v>
      </c>
      <c r="CH1229" s="1">
        <v>0</v>
      </c>
      <c r="CI1229" s="1">
        <v>0</v>
      </c>
      <c r="CJ1229" s="1">
        <v>0</v>
      </c>
      <c r="CK1229" s="1">
        <v>0</v>
      </c>
      <c r="CL1229" s="1">
        <v>0</v>
      </c>
      <c r="CM1229" s="1">
        <v>0</v>
      </c>
      <c r="CN1229" s="1">
        <v>0</v>
      </c>
      <c r="CO1229" s="1">
        <v>80</v>
      </c>
      <c r="CR1229" s="1">
        <v>0</v>
      </c>
      <c r="CS1229" s="1">
        <v>4000</v>
      </c>
      <c r="CT1229" s="1">
        <v>0</v>
      </c>
      <c r="CV1229" s="1">
        <v>0</v>
      </c>
      <c r="CW1229" s="1">
        <v>0</v>
      </c>
      <c r="CX1229" s="1">
        <v>0</v>
      </c>
      <c r="CY1229" s="1">
        <v>0</v>
      </c>
      <c r="CZ1229" s="1">
        <v>9000</v>
      </c>
      <c r="DA1229" s="1">
        <v>32000</v>
      </c>
      <c r="DB1229" s="1">
        <v>0</v>
      </c>
      <c r="DC1229" s="1">
        <v>103387</v>
      </c>
      <c r="DD1229" s="1">
        <v>100000</v>
      </c>
      <c r="DE1229" s="1">
        <v>12500</v>
      </c>
      <c r="DF1229" s="1">
        <v>0</v>
      </c>
      <c r="DG1229" s="1">
        <v>0</v>
      </c>
      <c r="DI1229" s="1">
        <v>100000</v>
      </c>
      <c r="DJ1229" s="1">
        <v>0</v>
      </c>
      <c r="DK1229" s="1">
        <v>613390</v>
      </c>
      <c r="DL1229" s="1">
        <v>157680</v>
      </c>
      <c r="DM1229" s="1">
        <v>53700</v>
      </c>
      <c r="DN1229" s="1">
        <v>27500</v>
      </c>
      <c r="DO1229" s="1">
        <v>685600</v>
      </c>
      <c r="DP1229" s="1">
        <v>64240</v>
      </c>
      <c r="DQ1229" s="1">
        <v>0</v>
      </c>
      <c r="DR1229" s="1">
        <v>0</v>
      </c>
      <c r="DS1229" s="65">
        <v>0</v>
      </c>
      <c r="DT1229" s="65">
        <v>1533000</v>
      </c>
      <c r="DU1229" s="65">
        <v>185000</v>
      </c>
      <c r="DV1229" s="1">
        <v>0</v>
      </c>
      <c r="DW1229" s="1">
        <v>18500</v>
      </c>
      <c r="DX1229" s="1">
        <v>0</v>
      </c>
      <c r="DY1229" s="1">
        <v>0</v>
      </c>
      <c r="DZ1229" s="1">
        <v>15000</v>
      </c>
      <c r="EA1229" s="1">
        <v>4500</v>
      </c>
      <c r="EB1229" s="1">
        <v>220000</v>
      </c>
      <c r="EC1229" s="1">
        <v>0</v>
      </c>
      <c r="ED1229" s="1">
        <v>0</v>
      </c>
      <c r="EE1229" s="1">
        <v>0</v>
      </c>
      <c r="EF1229" s="1">
        <v>0</v>
      </c>
      <c r="EG1229" s="1">
        <v>555</v>
      </c>
      <c r="EH1229" s="1">
        <v>0</v>
      </c>
      <c r="EI1229" s="1">
        <v>816944</v>
      </c>
      <c r="EJ1229" s="1">
        <v>193040</v>
      </c>
      <c r="EK1229" s="1">
        <v>24670</v>
      </c>
      <c r="EL1229" s="1">
        <v>16470</v>
      </c>
      <c r="EM1229" s="1">
        <v>25400</v>
      </c>
      <c r="EN1229" s="1">
        <v>1797500</v>
      </c>
      <c r="EO1229" s="1">
        <v>0</v>
      </c>
      <c r="EP1229" s="1">
        <v>503</v>
      </c>
      <c r="EQ1229" s="1">
        <v>5360</v>
      </c>
      <c r="ER1229" s="1">
        <v>22200</v>
      </c>
      <c r="ES1229" s="1">
        <v>6190221</v>
      </c>
      <c r="ET1229" s="1">
        <v>0</v>
      </c>
      <c r="EU1229" s="1">
        <v>0</v>
      </c>
      <c r="EV1229" s="1">
        <v>0</v>
      </c>
      <c r="EW1229" s="1">
        <v>0</v>
      </c>
      <c r="EX1229" s="1">
        <v>685</v>
      </c>
      <c r="EY1229" s="1">
        <v>1680</v>
      </c>
      <c r="EZ1229" s="1">
        <v>0</v>
      </c>
      <c r="FA1229" s="1">
        <v>541</v>
      </c>
      <c r="FB1229" s="1">
        <v>0</v>
      </c>
      <c r="FC1229" s="1">
        <v>332966</v>
      </c>
      <c r="FD1229" s="1">
        <v>24760</v>
      </c>
      <c r="FE1229" s="1">
        <v>133788</v>
      </c>
      <c r="FF1229" s="1">
        <v>0</v>
      </c>
      <c r="FG1229" s="1">
        <v>80000</v>
      </c>
      <c r="FH1229" s="1">
        <v>125000</v>
      </c>
      <c r="FI1229" s="1">
        <v>698000</v>
      </c>
      <c r="FJ1229" s="1">
        <v>46790</v>
      </c>
      <c r="FK1229" s="1">
        <v>7300</v>
      </c>
      <c r="FL1229" s="1">
        <v>1756</v>
      </c>
      <c r="FM1229" s="1">
        <v>0</v>
      </c>
      <c r="FN1229" s="1">
        <v>0</v>
      </c>
      <c r="FO1229" s="1">
        <v>0</v>
      </c>
      <c r="FP1229" s="1">
        <v>0</v>
      </c>
      <c r="FQ1229" s="1">
        <v>0</v>
      </c>
      <c r="FR1229" s="1">
        <v>6180</v>
      </c>
      <c r="FS1229" s="1">
        <v>4519</v>
      </c>
      <c r="FT1229" s="1">
        <v>0</v>
      </c>
      <c r="FU1229" s="1">
        <v>0</v>
      </c>
      <c r="FV1229" s="1">
        <v>0</v>
      </c>
      <c r="FW1229" s="1">
        <v>0</v>
      </c>
      <c r="FX1229" s="1">
        <v>0</v>
      </c>
      <c r="FY1229" s="1">
        <v>0</v>
      </c>
      <c r="FZ1229" s="1">
        <v>150</v>
      </c>
      <c r="GA1229" s="1">
        <v>32500</v>
      </c>
      <c r="GB1229" s="1">
        <v>19880</v>
      </c>
      <c r="GC1229" s="1">
        <v>0</v>
      </c>
      <c r="GD1229" s="1">
        <v>-200000</v>
      </c>
      <c r="GF1229" s="1">
        <v>26000</v>
      </c>
      <c r="GJ1229" s="1">
        <v>0</v>
      </c>
      <c r="GK1229" s="1">
        <v>0</v>
      </c>
      <c r="GL1229" s="1">
        <v>0</v>
      </c>
      <c r="GM1229" s="1">
        <v>0</v>
      </c>
      <c r="GN1229" s="1">
        <v>0</v>
      </c>
      <c r="GO1229" s="1">
        <v>0</v>
      </c>
      <c r="GP1229" s="1">
        <v>0</v>
      </c>
      <c r="GR1229" s="1">
        <v>0</v>
      </c>
      <c r="GS1229" s="1">
        <v>0</v>
      </c>
      <c r="GT1229" s="1">
        <v>0</v>
      </c>
      <c r="GU1229" s="1">
        <v>0</v>
      </c>
      <c r="GV1229" s="1">
        <v>0</v>
      </c>
      <c r="GW1229" s="1">
        <v>0</v>
      </c>
      <c r="GX1229" s="1">
        <v>0</v>
      </c>
      <c r="GY1229" s="1">
        <v>0</v>
      </c>
      <c r="GZ1229" s="1">
        <v>0</v>
      </c>
      <c r="HA1229" s="1">
        <v>0</v>
      </c>
      <c r="HB1229" s="1">
        <v>0</v>
      </c>
      <c r="HC1229" s="1">
        <v>0</v>
      </c>
      <c r="HD1229" s="1">
        <v>0</v>
      </c>
      <c r="HE1229" s="1">
        <v>0</v>
      </c>
      <c r="HF1229" s="1">
        <v>0</v>
      </c>
      <c r="HG1229" s="1">
        <v>0</v>
      </c>
      <c r="HH1229" s="1">
        <v>-500000</v>
      </c>
      <c r="HI1229" s="1">
        <v>0</v>
      </c>
      <c r="HJ1229" s="1">
        <v>0</v>
      </c>
      <c r="HK1229" s="1">
        <v>0</v>
      </c>
      <c r="HL1229" s="1">
        <v>0</v>
      </c>
      <c r="HM1229" s="1">
        <v>0</v>
      </c>
      <c r="HN1229" s="1">
        <v>0</v>
      </c>
      <c r="HO1229" s="1">
        <v>0</v>
      </c>
      <c r="HP1229" s="1">
        <v>0</v>
      </c>
      <c r="HQ1229" s="1">
        <v>0</v>
      </c>
      <c r="HR1229" s="1">
        <v>0</v>
      </c>
      <c r="HS1229" s="1">
        <v>0</v>
      </c>
      <c r="HT1229" s="1">
        <v>0</v>
      </c>
      <c r="HU1229" s="1">
        <v>0</v>
      </c>
      <c r="HV1229" s="1">
        <v>0</v>
      </c>
      <c r="HW1229" s="1">
        <v>0</v>
      </c>
      <c r="HX1229" s="1">
        <v>0</v>
      </c>
      <c r="HY1229" s="1">
        <v>0</v>
      </c>
      <c r="HZ1229" s="1">
        <v>0</v>
      </c>
      <c r="IA1229" s="1">
        <v>0</v>
      </c>
      <c r="IB1229" s="1">
        <v>0</v>
      </c>
      <c r="IC1229" s="1">
        <v>0</v>
      </c>
      <c r="ID1229" s="1">
        <v>0</v>
      </c>
      <c r="IE1229" s="1">
        <v>0</v>
      </c>
    </row>
    <row r="1230" spans="1:239" x14ac:dyDescent="0.25">
      <c r="A1230" s="269" t="s">
        <v>2308</v>
      </c>
      <c r="B1230" s="18" t="s">
        <v>2296</v>
      </c>
      <c r="C1230" s="1">
        <v>-150000</v>
      </c>
      <c r="FH1230" s="1">
        <v>0</v>
      </c>
      <c r="HA1230" s="1">
        <v>150000</v>
      </c>
    </row>
    <row r="1231" spans="1:239" x14ac:dyDescent="0.25">
      <c r="A1231" s="269" t="s">
        <v>2308</v>
      </c>
      <c r="B1231" s="41" t="s">
        <v>2244</v>
      </c>
      <c r="C1231" s="1">
        <v>-4000</v>
      </c>
      <c r="CS1231" s="1">
        <v>4000</v>
      </c>
    </row>
    <row r="1232" spans="1:239" x14ac:dyDescent="0.25">
      <c r="A1232" s="269" t="s">
        <v>2308</v>
      </c>
      <c r="B1232" s="18" t="s">
        <v>2310</v>
      </c>
      <c r="C1232" s="1">
        <v>-100000</v>
      </c>
      <c r="DD1232" s="1">
        <v>100000</v>
      </c>
    </row>
    <row r="1233" spans="1:204" x14ac:dyDescent="0.25">
      <c r="A1233" s="269" t="s">
        <v>2308</v>
      </c>
      <c r="B1233" s="18" t="s">
        <v>2311</v>
      </c>
      <c r="C1233" s="1">
        <v>-4150</v>
      </c>
      <c r="EK1233" s="1">
        <v>1690</v>
      </c>
      <c r="FR1233" s="1">
        <f>1500+300+660</f>
        <v>2460</v>
      </c>
    </row>
    <row r="1234" spans="1:204" x14ac:dyDescent="0.25">
      <c r="A1234" s="271" t="s">
        <v>2308</v>
      </c>
      <c r="B1234" s="18" t="s">
        <v>2312</v>
      </c>
      <c r="C1234" s="1">
        <v>12000</v>
      </c>
      <c r="E1234" s="247">
        <v>-12000</v>
      </c>
    </row>
    <row r="1235" spans="1:204" x14ac:dyDescent="0.25">
      <c r="A1235" s="272" t="s">
        <v>2315</v>
      </c>
      <c r="B1235" s="18" t="s">
        <v>2313</v>
      </c>
      <c r="C1235" s="1">
        <v>-11000</v>
      </c>
      <c r="GV1235" s="1">
        <v>11000</v>
      </c>
    </row>
    <row r="1236" spans="1:204" x14ac:dyDescent="0.25">
      <c r="A1236" s="272" t="s">
        <v>2315</v>
      </c>
      <c r="B1236" s="18" t="s">
        <v>2314</v>
      </c>
      <c r="C1236" s="1">
        <v>-2400</v>
      </c>
      <c r="D1236" s="272"/>
      <c r="E1236" s="272"/>
      <c r="F1236" s="272"/>
      <c r="G1236" s="272"/>
      <c r="CS1236" s="1">
        <v>2400</v>
      </c>
    </row>
    <row r="1237" spans="1:204" x14ac:dyDescent="0.25">
      <c r="A1237" s="272" t="s">
        <v>2308</v>
      </c>
      <c r="B1237" s="18" t="s">
        <v>2316</v>
      </c>
      <c r="C1237" s="1">
        <v>-3850</v>
      </c>
      <c r="D1237" s="272"/>
      <c r="E1237" s="272"/>
      <c r="F1237" s="272"/>
      <c r="G1237" s="272"/>
      <c r="CX1237" s="1">
        <v>3850</v>
      </c>
    </row>
    <row r="1238" spans="1:204" x14ac:dyDescent="0.25">
      <c r="A1238" s="274" t="s">
        <v>2317</v>
      </c>
      <c r="B1238" s="18" t="s">
        <v>2313</v>
      </c>
      <c r="C1238" s="1">
        <v>-2000</v>
      </c>
      <c r="D1238" s="272"/>
      <c r="E1238" s="272"/>
      <c r="F1238" s="272"/>
      <c r="G1238" s="272"/>
      <c r="GV1238" s="1">
        <v>2000</v>
      </c>
    </row>
    <row r="1239" spans="1:204" x14ac:dyDescent="0.25">
      <c r="A1239" s="274" t="s">
        <v>2317</v>
      </c>
      <c r="B1239" s="18" t="s">
        <v>2318</v>
      </c>
      <c r="C1239" s="1">
        <v>-35000</v>
      </c>
      <c r="D1239" s="273"/>
      <c r="E1239" s="273">
        <v>35000</v>
      </c>
      <c r="F1239" s="273"/>
      <c r="G1239" s="273"/>
    </row>
    <row r="1240" spans="1:204" x14ac:dyDescent="0.25">
      <c r="A1240" s="274" t="s">
        <v>2317</v>
      </c>
      <c r="B1240" s="18" t="s">
        <v>2313</v>
      </c>
      <c r="C1240" s="1">
        <v>-165</v>
      </c>
      <c r="D1240" s="273"/>
      <c r="F1240" s="273"/>
      <c r="G1240" s="273"/>
      <c r="GV1240" s="1">
        <v>165</v>
      </c>
    </row>
    <row r="1241" spans="1:204" x14ac:dyDescent="0.25">
      <c r="A1241" s="275" t="s">
        <v>2319</v>
      </c>
      <c r="B1241" s="18" t="s">
        <v>2320</v>
      </c>
      <c r="C1241" s="1">
        <v>16000</v>
      </c>
      <c r="D1241" s="273"/>
      <c r="E1241" s="273">
        <v>-16000</v>
      </c>
      <c r="F1241" s="273"/>
      <c r="G1241" s="273"/>
    </row>
    <row r="1242" spans="1:204" x14ac:dyDescent="0.25">
      <c r="A1242" s="275" t="s">
        <v>2319</v>
      </c>
      <c r="B1242" s="18" t="s">
        <v>2321</v>
      </c>
      <c r="C1242" s="1">
        <v>-8005</v>
      </c>
      <c r="D1242" s="273"/>
      <c r="E1242" s="273"/>
      <c r="F1242" s="273"/>
      <c r="G1242" s="273"/>
      <c r="EQ1242" s="1">
        <v>3240</v>
      </c>
      <c r="ES1242" s="1">
        <v>2265</v>
      </c>
      <c r="GE1242" s="1">
        <v>2500</v>
      </c>
      <c r="GL1242" s="1">
        <v>0</v>
      </c>
    </row>
    <row r="1243" spans="1:204" x14ac:dyDescent="0.25">
      <c r="A1243" s="277" t="s">
        <v>2322</v>
      </c>
      <c r="B1243" s="18" t="s">
        <v>2255</v>
      </c>
      <c r="C1243" s="1">
        <v>-1000</v>
      </c>
      <c r="D1243" s="277"/>
      <c r="E1243" s="277"/>
      <c r="F1243" s="277"/>
      <c r="G1243" s="277"/>
      <c r="ES1243" s="1">
        <v>1000</v>
      </c>
    </row>
    <row r="1244" spans="1:204" x14ac:dyDescent="0.25">
      <c r="A1244" s="277" t="s">
        <v>2322</v>
      </c>
      <c r="B1244" s="18" t="s">
        <v>2257</v>
      </c>
      <c r="C1244" s="1">
        <v>-9000</v>
      </c>
      <c r="D1244" s="277"/>
      <c r="E1244" s="277"/>
      <c r="F1244" s="277"/>
      <c r="G1244" s="277"/>
      <c r="EJ1244" s="1">
        <v>9000</v>
      </c>
    </row>
    <row r="1245" spans="1:204" x14ac:dyDescent="0.25">
      <c r="A1245" s="277" t="s">
        <v>2322</v>
      </c>
      <c r="B1245" s="18" t="s">
        <v>2325</v>
      </c>
      <c r="C1245" s="1">
        <v>-1120</v>
      </c>
      <c r="D1245" s="277"/>
      <c r="E1245" s="277"/>
      <c r="F1245" s="277"/>
      <c r="G1245" s="277"/>
      <c r="EX1245" s="1">
        <v>1120</v>
      </c>
    </row>
    <row r="1246" spans="1:204" x14ac:dyDescent="0.25">
      <c r="A1246" s="277" t="s">
        <v>2322</v>
      </c>
      <c r="B1246" s="18" t="s">
        <v>2324</v>
      </c>
      <c r="C1246" s="1">
        <v>-300</v>
      </c>
      <c r="D1246" s="277"/>
      <c r="E1246" s="277"/>
      <c r="F1246" s="277"/>
      <c r="G1246" s="277"/>
      <c r="FK1246" s="1">
        <v>300</v>
      </c>
    </row>
    <row r="1247" spans="1:204" x14ac:dyDescent="0.25">
      <c r="A1247" s="277" t="s">
        <v>2322</v>
      </c>
      <c r="B1247" s="18" t="s">
        <v>2323</v>
      </c>
      <c r="C1247" s="1">
        <v>-300</v>
      </c>
      <c r="D1247" s="277"/>
      <c r="E1247" s="277"/>
      <c r="F1247" s="277"/>
      <c r="G1247" s="277"/>
      <c r="FR1247" s="1">
        <v>300</v>
      </c>
    </row>
    <row r="1248" spans="1:204" x14ac:dyDescent="0.25">
      <c r="A1248" s="277" t="s">
        <v>2322</v>
      </c>
      <c r="B1248" s="18" t="s">
        <v>2326</v>
      </c>
      <c r="C1248" s="1">
        <v>-1000</v>
      </c>
      <c r="D1248" s="277"/>
      <c r="E1248" s="277"/>
      <c r="F1248" s="277"/>
      <c r="G1248" s="277"/>
      <c r="ES1248" s="1">
        <v>1000</v>
      </c>
    </row>
    <row r="1249" spans="1:202" x14ac:dyDescent="0.25">
      <c r="A1249" s="277" t="s">
        <v>2322</v>
      </c>
      <c r="B1249" s="18" t="s">
        <v>2327</v>
      </c>
      <c r="C1249" s="1">
        <v>-1100</v>
      </c>
      <c r="D1249" s="277"/>
      <c r="E1249" s="277"/>
      <c r="F1249" s="277"/>
      <c r="G1249" s="277"/>
      <c r="GJ1249" s="1">
        <v>1100</v>
      </c>
    </row>
    <row r="1250" spans="1:202" x14ac:dyDescent="0.25">
      <c r="A1250" s="277" t="s">
        <v>2322</v>
      </c>
      <c r="B1250" s="18" t="s">
        <v>2330</v>
      </c>
      <c r="C1250" s="1">
        <v>-750</v>
      </c>
      <c r="D1250" s="277"/>
      <c r="E1250" s="277"/>
      <c r="F1250" s="277"/>
      <c r="G1250" s="277"/>
      <c r="GN1250" s="1">
        <v>750</v>
      </c>
    </row>
    <row r="1251" spans="1:202" x14ac:dyDescent="0.25">
      <c r="A1251" s="277" t="s">
        <v>2322</v>
      </c>
      <c r="B1251" s="18" t="s">
        <v>2328</v>
      </c>
      <c r="C1251" s="1">
        <v>-640</v>
      </c>
      <c r="D1251" s="277"/>
      <c r="E1251" s="277"/>
      <c r="F1251" s="277"/>
      <c r="G1251" s="277"/>
      <c r="GK1251" s="1">
        <v>640</v>
      </c>
    </row>
    <row r="1252" spans="1:202" x14ac:dyDescent="0.25">
      <c r="A1252" s="277" t="s">
        <v>2322</v>
      </c>
      <c r="B1252" s="18" t="s">
        <v>2329</v>
      </c>
      <c r="C1252" s="1">
        <v>-500</v>
      </c>
      <c r="D1252" s="277"/>
      <c r="E1252" s="277"/>
      <c r="F1252" s="277"/>
      <c r="G1252" s="277"/>
      <c r="GL1252" s="1">
        <v>500</v>
      </c>
    </row>
    <row r="1253" spans="1:202" x14ac:dyDescent="0.25">
      <c r="A1253" s="277" t="s">
        <v>2322</v>
      </c>
      <c r="B1253" s="18" t="s">
        <v>2331</v>
      </c>
      <c r="C1253" s="1">
        <v>-280</v>
      </c>
      <c r="D1253" s="277"/>
      <c r="E1253" s="277"/>
      <c r="F1253" s="277"/>
      <c r="G1253" s="277"/>
      <c r="GM1253" s="1">
        <v>280</v>
      </c>
    </row>
    <row r="1254" spans="1:202" x14ac:dyDescent="0.25">
      <c r="A1254" s="277" t="s">
        <v>2322</v>
      </c>
      <c r="B1254" s="18" t="s">
        <v>2338</v>
      </c>
      <c r="C1254" s="1">
        <v>-23</v>
      </c>
      <c r="D1254" s="277"/>
      <c r="E1254" s="277"/>
      <c r="F1254" s="277"/>
      <c r="G1254" s="277"/>
      <c r="GP1254" s="1">
        <v>23</v>
      </c>
    </row>
    <row r="1255" spans="1:202" x14ac:dyDescent="0.25">
      <c r="A1255" s="277" t="s">
        <v>2322</v>
      </c>
      <c r="B1255" s="18" t="s">
        <v>2341</v>
      </c>
      <c r="C1255" s="1">
        <v>13100</v>
      </c>
      <c r="D1255" s="272"/>
      <c r="E1255" s="272">
        <v>-13100</v>
      </c>
      <c r="F1255" s="272"/>
      <c r="G1255" s="272"/>
    </row>
    <row r="1256" spans="1:202" x14ac:dyDescent="0.25">
      <c r="A1256" s="280" t="s">
        <v>2346</v>
      </c>
      <c r="B1256" s="18" t="s">
        <v>2342</v>
      </c>
      <c r="C1256" s="1">
        <v>-5000</v>
      </c>
      <c r="D1256" s="280"/>
      <c r="E1256" s="280"/>
      <c r="F1256" s="280"/>
      <c r="G1256" s="280"/>
      <c r="GR1256" s="1">
        <v>5000</v>
      </c>
    </row>
    <row r="1257" spans="1:202" x14ac:dyDescent="0.25">
      <c r="A1257" s="280" t="s">
        <v>2346</v>
      </c>
      <c r="B1257" s="18" t="s">
        <v>2344</v>
      </c>
      <c r="C1257" s="1">
        <v>-600</v>
      </c>
      <c r="D1257" s="280"/>
      <c r="E1257" s="280"/>
      <c r="F1257" s="280"/>
      <c r="G1257" s="280"/>
      <c r="GS1257" s="1">
        <v>600</v>
      </c>
    </row>
    <row r="1258" spans="1:202" x14ac:dyDescent="0.25">
      <c r="A1258" s="280" t="s">
        <v>2346</v>
      </c>
      <c r="B1258" s="18" t="s">
        <v>2394</v>
      </c>
      <c r="C1258" s="1">
        <v>10200</v>
      </c>
      <c r="D1258" s="280"/>
      <c r="E1258" s="280">
        <v>-10200</v>
      </c>
      <c r="F1258" s="280"/>
      <c r="G1258" s="280"/>
    </row>
    <row r="1259" spans="1:202" x14ac:dyDescent="0.25">
      <c r="A1259" s="280" t="s">
        <v>2346</v>
      </c>
      <c r="B1259" s="18" t="s">
        <v>2347</v>
      </c>
      <c r="C1259" s="1">
        <v>-10200</v>
      </c>
      <c r="D1259" s="277"/>
      <c r="E1259" s="277"/>
      <c r="F1259" s="277"/>
      <c r="G1259" s="277"/>
      <c r="GP1259" s="1">
        <v>200</v>
      </c>
      <c r="GT1259" s="1">
        <v>10000</v>
      </c>
    </row>
    <row r="1260" spans="1:202" x14ac:dyDescent="0.25">
      <c r="A1260" s="282" t="s">
        <v>2349</v>
      </c>
      <c r="B1260" s="18" t="s">
        <v>2351</v>
      </c>
      <c r="C1260" s="1">
        <v>-4500</v>
      </c>
      <c r="D1260" s="282"/>
      <c r="E1260" s="282"/>
      <c r="F1260" s="282"/>
      <c r="G1260" s="282"/>
      <c r="CW1260" s="1">
        <v>4500</v>
      </c>
      <c r="ES1260" s="1">
        <v>0</v>
      </c>
    </row>
    <row r="1261" spans="1:202" ht="14.25" customHeight="1" x14ac:dyDescent="0.25">
      <c r="A1261" s="282" t="s">
        <v>2349</v>
      </c>
      <c r="B1261" s="18" t="s">
        <v>2353</v>
      </c>
      <c r="C1261" s="1">
        <v>-900</v>
      </c>
      <c r="D1261" s="282"/>
      <c r="E1261" s="282"/>
      <c r="F1261" s="282"/>
      <c r="G1261" s="282"/>
      <c r="CW1261" s="1">
        <v>900</v>
      </c>
    </row>
    <row r="1262" spans="1:202" ht="17.25" customHeight="1" x14ac:dyDescent="0.25">
      <c r="A1262" s="282" t="s">
        <v>2349</v>
      </c>
      <c r="B1262" s="18" t="s">
        <v>2352</v>
      </c>
      <c r="C1262" s="1">
        <v>-20</v>
      </c>
      <c r="D1262" s="282"/>
      <c r="E1262" s="282"/>
      <c r="F1262" s="282"/>
      <c r="G1262" s="282"/>
      <c r="CX1262" s="1">
        <v>20</v>
      </c>
      <c r="FE1262" s="1">
        <v>0</v>
      </c>
    </row>
    <row r="1263" spans="1:202" x14ac:dyDescent="0.25">
      <c r="A1263" s="283" t="s">
        <v>2349</v>
      </c>
      <c r="B1263" s="1" t="s">
        <v>2354</v>
      </c>
      <c r="C1263" s="1">
        <v>-18500</v>
      </c>
      <c r="D1263" s="282"/>
      <c r="E1263" s="282"/>
      <c r="F1263" s="282"/>
      <c r="G1263" s="282"/>
      <c r="DC1263" s="1">
        <v>18500</v>
      </c>
    </row>
    <row r="1264" spans="1:202" x14ac:dyDescent="0.25">
      <c r="A1264" s="283" t="s">
        <v>2355</v>
      </c>
      <c r="B1264" s="18" t="s">
        <v>2356</v>
      </c>
      <c r="C1264" s="1">
        <v>-4000</v>
      </c>
      <c r="D1264" s="282"/>
      <c r="E1264" s="282"/>
      <c r="F1264" s="282"/>
      <c r="G1264" s="282"/>
      <c r="DC1264" s="1">
        <v>4000</v>
      </c>
    </row>
    <row r="1265" spans="1:212" x14ac:dyDescent="0.25">
      <c r="A1265" s="284" t="s">
        <v>2355</v>
      </c>
      <c r="B1265" s="18" t="s">
        <v>2362</v>
      </c>
      <c r="C1265" s="1">
        <v>-7200</v>
      </c>
      <c r="D1265" s="282"/>
      <c r="E1265" s="282"/>
      <c r="F1265" s="282"/>
      <c r="G1265" s="282"/>
      <c r="GU1265" s="1">
        <v>7200</v>
      </c>
    </row>
    <row r="1266" spans="1:212" x14ac:dyDescent="0.25">
      <c r="A1266" s="284" t="s">
        <v>2355</v>
      </c>
      <c r="B1266" s="18" t="s">
        <v>2358</v>
      </c>
      <c r="C1266" s="1">
        <v>-10300</v>
      </c>
      <c r="D1266" s="282"/>
      <c r="E1266" s="282">
        <v>10300</v>
      </c>
      <c r="F1266" s="282"/>
      <c r="G1266" s="282"/>
    </row>
    <row r="1267" spans="1:212" x14ac:dyDescent="0.25">
      <c r="A1267" s="284" t="s">
        <v>2361</v>
      </c>
      <c r="B1267" s="1" t="s">
        <v>2363</v>
      </c>
      <c r="C1267" s="1">
        <v>-180</v>
      </c>
      <c r="D1267" s="282"/>
      <c r="E1267" s="282"/>
      <c r="F1267" s="282"/>
      <c r="G1267" s="282"/>
      <c r="GW1267" s="1">
        <v>180</v>
      </c>
    </row>
    <row r="1268" spans="1:212" x14ac:dyDescent="0.25">
      <c r="A1268" s="289" t="s">
        <v>2367</v>
      </c>
      <c r="B1268" s="18" t="s">
        <v>2368</v>
      </c>
      <c r="C1268" s="1">
        <v>500000</v>
      </c>
      <c r="D1268" s="282"/>
      <c r="E1268" s="282"/>
      <c r="F1268" s="282"/>
      <c r="G1268" s="282"/>
      <c r="H1268" s="1">
        <v>-500000</v>
      </c>
    </row>
    <row r="1269" spans="1:212" x14ac:dyDescent="0.25">
      <c r="A1269" s="289" t="s">
        <v>2367</v>
      </c>
      <c r="B1269" s="1" t="s">
        <v>2369</v>
      </c>
      <c r="C1269" s="1">
        <v>-120000</v>
      </c>
      <c r="D1269" s="282"/>
      <c r="E1269" s="282"/>
      <c r="F1269" s="282"/>
      <c r="G1269" s="282"/>
      <c r="FJ1269" s="1">
        <v>120000</v>
      </c>
    </row>
    <row r="1270" spans="1:212" x14ac:dyDescent="0.25">
      <c r="A1270" s="289" t="s">
        <v>2367</v>
      </c>
      <c r="B1270" s="1" t="s">
        <v>2370</v>
      </c>
      <c r="C1270" s="1">
        <v>-23</v>
      </c>
      <c r="D1270" s="282"/>
      <c r="E1270" s="282"/>
      <c r="F1270" s="282"/>
      <c r="G1270" s="282"/>
      <c r="EY1270" s="1">
        <v>23</v>
      </c>
    </row>
    <row r="1271" spans="1:212" ht="14.25" customHeight="1" x14ac:dyDescent="0.25">
      <c r="A1271" s="290" t="s">
        <v>2371</v>
      </c>
      <c r="B1271" s="18" t="s">
        <v>2372</v>
      </c>
      <c r="C1271" s="1">
        <v>-7000</v>
      </c>
      <c r="D1271" s="277"/>
      <c r="E1271" s="277"/>
      <c r="F1271" s="277"/>
      <c r="G1271" s="277"/>
      <c r="DC1271" s="1">
        <v>7000</v>
      </c>
    </row>
    <row r="1272" spans="1:212" x14ac:dyDescent="0.25">
      <c r="A1272" s="290" t="s">
        <v>2371</v>
      </c>
      <c r="B1272" s="18" t="s">
        <v>2373</v>
      </c>
      <c r="C1272" s="1">
        <v>-20000</v>
      </c>
      <c r="D1272" s="277"/>
      <c r="E1272" s="277"/>
      <c r="F1272" s="277"/>
      <c r="G1272" s="277"/>
      <c r="HA1272" s="1">
        <v>20000</v>
      </c>
      <c r="HB1272" s="1">
        <v>0</v>
      </c>
    </row>
    <row r="1273" spans="1:212" x14ac:dyDescent="0.25">
      <c r="A1273" s="290" t="s">
        <v>2371</v>
      </c>
      <c r="B1273" s="18" t="s">
        <v>2375</v>
      </c>
      <c r="C1273" s="1">
        <v>-30</v>
      </c>
      <c r="D1273" s="277"/>
      <c r="E1273" s="277"/>
      <c r="F1273" s="277"/>
      <c r="G1273" s="277"/>
      <c r="FZ1273" s="1">
        <v>30</v>
      </c>
    </row>
    <row r="1274" spans="1:212" x14ac:dyDescent="0.25">
      <c r="A1274" s="291" t="s">
        <v>2376</v>
      </c>
      <c r="B1274" s="18" t="s">
        <v>2392</v>
      </c>
      <c r="C1274" s="1">
        <v>-121000</v>
      </c>
      <c r="D1274" s="291"/>
      <c r="E1274" s="291">
        <v>121000</v>
      </c>
      <c r="F1274" s="291"/>
      <c r="G1274" s="291"/>
    </row>
    <row r="1275" spans="1:212" x14ac:dyDescent="0.25">
      <c r="A1275" s="291" t="s">
        <v>2376</v>
      </c>
      <c r="B1275" s="18" t="s">
        <v>2377</v>
      </c>
      <c r="C1275" s="1">
        <v>500000</v>
      </c>
      <c r="D1275" s="291"/>
      <c r="E1275" s="291"/>
      <c r="F1275" s="291"/>
      <c r="G1275" s="291"/>
      <c r="H1275" s="1">
        <v>-500000</v>
      </c>
    </row>
    <row r="1276" spans="1:212" x14ac:dyDescent="0.25">
      <c r="A1276" s="291" t="s">
        <v>2376</v>
      </c>
      <c r="B1276" s="18" t="s">
        <v>2378</v>
      </c>
      <c r="C1276" s="1">
        <v>-390000</v>
      </c>
      <c r="D1276" s="291"/>
      <c r="E1276" s="291"/>
      <c r="F1276" s="291"/>
      <c r="G1276" s="291"/>
      <c r="HC1276" s="1">
        <v>390000</v>
      </c>
    </row>
    <row r="1277" spans="1:212" x14ac:dyDescent="0.25">
      <c r="A1277" s="291" t="s">
        <v>2376</v>
      </c>
      <c r="B1277" s="18" t="s">
        <v>2382</v>
      </c>
      <c r="C1277" s="1">
        <v>-3260</v>
      </c>
      <c r="D1277" s="291"/>
      <c r="E1277" s="291"/>
      <c r="F1277" s="291"/>
      <c r="G1277" s="291"/>
      <c r="GP1277" s="1">
        <v>60</v>
      </c>
      <c r="GW1277" s="1">
        <v>200</v>
      </c>
      <c r="HC1277" s="1">
        <v>0</v>
      </c>
      <c r="HD1277" s="1">
        <v>3000</v>
      </c>
    </row>
    <row r="1278" spans="1:212" x14ac:dyDescent="0.25">
      <c r="A1278" s="291" t="s">
        <v>2376</v>
      </c>
      <c r="B1278" s="18" t="s">
        <v>2381</v>
      </c>
      <c r="C1278" s="1">
        <v>-70000</v>
      </c>
      <c r="D1278" s="291"/>
      <c r="E1278" s="291"/>
      <c r="F1278" s="291"/>
      <c r="G1278" s="291"/>
      <c r="FH1278" s="1">
        <v>70000</v>
      </c>
    </row>
    <row r="1279" spans="1:212" x14ac:dyDescent="0.25">
      <c r="A1279" s="291" t="s">
        <v>2376</v>
      </c>
      <c r="B1279" s="18" t="s">
        <v>2384</v>
      </c>
      <c r="C1279" s="1">
        <v>-18500</v>
      </c>
      <c r="D1279" s="291"/>
      <c r="E1279" s="291"/>
      <c r="F1279" s="291"/>
      <c r="G1279" s="291"/>
      <c r="FH1279" s="1">
        <v>0</v>
      </c>
      <c r="GH1279" s="1">
        <v>18500</v>
      </c>
    </row>
    <row r="1280" spans="1:212" x14ac:dyDescent="0.25">
      <c r="A1280" s="291" t="s">
        <v>2383</v>
      </c>
      <c r="B1280" s="18" t="s">
        <v>2385</v>
      </c>
      <c r="C1280" s="1">
        <v>-37600</v>
      </c>
      <c r="D1280" s="291"/>
      <c r="E1280" s="291"/>
      <c r="F1280" s="291"/>
      <c r="G1280" s="291"/>
      <c r="GH1280" s="1">
        <v>37600</v>
      </c>
    </row>
    <row r="1281" spans="1:213" x14ac:dyDescent="0.25">
      <c r="A1281" s="294" t="s">
        <v>2386</v>
      </c>
      <c r="B1281" s="18" t="s">
        <v>2387</v>
      </c>
      <c r="C1281" s="1">
        <v>-480</v>
      </c>
      <c r="D1281" s="292"/>
      <c r="E1281" s="292"/>
      <c r="F1281" s="292"/>
      <c r="G1281" s="292"/>
      <c r="ER1281" s="1">
        <v>480</v>
      </c>
    </row>
    <row r="1282" spans="1:213" x14ac:dyDescent="0.25">
      <c r="A1282" s="294" t="s">
        <v>2386</v>
      </c>
      <c r="B1282" s="18" t="s">
        <v>2388</v>
      </c>
      <c r="C1282" s="1">
        <v>-242500</v>
      </c>
      <c r="D1282" s="292"/>
      <c r="E1282" s="292"/>
      <c r="F1282" s="292"/>
      <c r="G1282" s="292"/>
      <c r="FH1282" s="1">
        <v>242500</v>
      </c>
    </row>
    <row r="1283" spans="1:213" x14ac:dyDescent="0.25">
      <c r="A1283" s="294" t="s">
        <v>2386</v>
      </c>
      <c r="B1283" s="18" t="s">
        <v>2370</v>
      </c>
      <c r="C1283" s="1">
        <v>-173</v>
      </c>
      <c r="D1283" s="292"/>
      <c r="E1283" s="292"/>
      <c r="F1283" s="292"/>
      <c r="G1283" s="292"/>
      <c r="EY1283" s="1">
        <v>173</v>
      </c>
    </row>
    <row r="1284" spans="1:213" x14ac:dyDescent="0.25">
      <c r="A1284" s="294" t="s">
        <v>2386</v>
      </c>
      <c r="B1284" s="18" t="s">
        <v>2389</v>
      </c>
      <c r="C1284" s="1">
        <v>-650</v>
      </c>
      <c r="D1284" s="292"/>
      <c r="E1284" s="292"/>
      <c r="F1284" s="292"/>
      <c r="G1284" s="292"/>
      <c r="ES1284" s="1">
        <v>650</v>
      </c>
    </row>
    <row r="1285" spans="1:213" x14ac:dyDescent="0.25">
      <c r="A1285" s="294" t="s">
        <v>2386</v>
      </c>
      <c r="B1285" s="18" t="s">
        <v>2409</v>
      </c>
      <c r="C1285" s="1">
        <f>-8530-4000</f>
        <v>-12530</v>
      </c>
      <c r="D1285" s="292"/>
      <c r="E1285" s="292"/>
      <c r="F1285" s="292"/>
      <c r="G1285" s="292"/>
    </row>
    <row r="1286" spans="1:213" x14ac:dyDescent="0.25">
      <c r="A1286" s="297"/>
      <c r="B1286" s="18" t="s">
        <v>2410</v>
      </c>
      <c r="D1286" s="297"/>
      <c r="E1286" s="297"/>
      <c r="F1286" s="297"/>
      <c r="G1286" s="297"/>
      <c r="GW1286" s="1">
        <v>1010</v>
      </c>
    </row>
    <row r="1287" spans="1:213" x14ac:dyDescent="0.25">
      <c r="A1287" s="297"/>
      <c r="B1287" s="18" t="s">
        <v>2411</v>
      </c>
      <c r="D1287" s="297"/>
      <c r="E1287" s="297"/>
      <c r="F1287" s="297"/>
      <c r="G1287" s="297"/>
      <c r="GP1287" s="1">
        <v>80</v>
      </c>
    </row>
    <row r="1288" spans="1:213" x14ac:dyDescent="0.25">
      <c r="A1288" s="297"/>
      <c r="B1288" s="18" t="s">
        <v>2412</v>
      </c>
      <c r="D1288" s="297"/>
      <c r="E1288" s="297"/>
      <c r="F1288" s="297"/>
      <c r="G1288" s="297"/>
      <c r="HE1288" s="1">
        <v>300</v>
      </c>
    </row>
    <row r="1289" spans="1:213" x14ac:dyDescent="0.25">
      <c r="A1289" s="297"/>
      <c r="B1289" s="18" t="s">
        <v>2413</v>
      </c>
      <c r="D1289" s="297"/>
      <c r="E1289" s="297"/>
      <c r="F1289" s="297"/>
      <c r="G1289" s="297"/>
      <c r="GM1289" s="1">
        <v>8190</v>
      </c>
    </row>
    <row r="1290" spans="1:213" x14ac:dyDescent="0.25">
      <c r="A1290" s="297"/>
      <c r="B1290" s="18" t="s">
        <v>2414</v>
      </c>
      <c r="D1290" s="297"/>
      <c r="E1290" s="297"/>
      <c r="F1290" s="297"/>
      <c r="G1290" s="297"/>
      <c r="GN1290" s="1">
        <v>200</v>
      </c>
    </row>
    <row r="1291" spans="1:213" x14ac:dyDescent="0.25">
      <c r="A1291" s="297"/>
      <c r="B1291" s="18" t="s">
        <v>2415</v>
      </c>
      <c r="D1291" s="297"/>
      <c r="E1291" s="297"/>
      <c r="F1291" s="297"/>
      <c r="G1291" s="297"/>
      <c r="GO1291" s="1">
        <v>150</v>
      </c>
    </row>
    <row r="1292" spans="1:213" x14ac:dyDescent="0.25">
      <c r="A1292" s="297"/>
      <c r="B1292" s="18" t="s">
        <v>2416</v>
      </c>
      <c r="D1292" s="297"/>
      <c r="E1292" s="297"/>
      <c r="F1292" s="297"/>
      <c r="G1292" s="297"/>
      <c r="GT1292" s="1">
        <v>2000</v>
      </c>
    </row>
    <row r="1293" spans="1:213" x14ac:dyDescent="0.25">
      <c r="A1293" s="297"/>
      <c r="B1293" s="18" t="s">
        <v>2417</v>
      </c>
      <c r="D1293" s="297"/>
      <c r="E1293" s="297"/>
      <c r="F1293" s="297"/>
      <c r="G1293" s="297"/>
      <c r="GL1293" s="1">
        <v>200</v>
      </c>
    </row>
    <row r="1294" spans="1:213" x14ac:dyDescent="0.25">
      <c r="A1294" s="297"/>
      <c r="B1294" s="18" t="s">
        <v>2418</v>
      </c>
      <c r="D1294" s="297"/>
      <c r="E1294" s="297"/>
      <c r="F1294" s="297"/>
      <c r="G1294" s="297"/>
      <c r="HE1294" s="1">
        <v>400</v>
      </c>
    </row>
    <row r="1295" spans="1:213" x14ac:dyDescent="0.25">
      <c r="A1295" s="294" t="s">
        <v>2386</v>
      </c>
      <c r="B1295" s="18" t="s">
        <v>2393</v>
      </c>
      <c r="C1295" s="1">
        <v>121000</v>
      </c>
      <c r="D1295" s="292"/>
      <c r="E1295" s="292">
        <v>-121000</v>
      </c>
      <c r="F1295" s="292"/>
      <c r="G1295" s="292"/>
    </row>
    <row r="1296" spans="1:213" x14ac:dyDescent="0.25">
      <c r="A1296" s="294" t="s">
        <v>2386</v>
      </c>
      <c r="B1296" s="32" t="s">
        <v>2395</v>
      </c>
      <c r="C1296" s="1">
        <v>-8590</v>
      </c>
      <c r="D1296" s="294"/>
      <c r="E1296" s="294"/>
      <c r="F1296" s="294"/>
      <c r="G1296" s="294"/>
      <c r="FR1296" s="1">
        <v>8590</v>
      </c>
    </row>
    <row r="1297" spans="1:214" x14ac:dyDescent="0.25">
      <c r="A1297" s="296" t="s">
        <v>2396</v>
      </c>
      <c r="B1297" s="18" t="s">
        <v>2397</v>
      </c>
      <c r="D1297" s="294"/>
      <c r="E1297" s="294"/>
      <c r="F1297" s="294"/>
      <c r="G1297" s="294"/>
    </row>
    <row r="1298" spans="1:214" hidden="1" x14ac:dyDescent="0.25">
      <c r="A1298" s="294"/>
      <c r="B1298" s="18" t="s">
        <v>2398</v>
      </c>
      <c r="C1298" s="1">
        <v>-1305</v>
      </c>
      <c r="D1298" s="294"/>
      <c r="E1298" s="294"/>
      <c r="F1298" s="294"/>
      <c r="G1298" s="294"/>
      <c r="FE1298" s="1">
        <v>1305</v>
      </c>
    </row>
    <row r="1299" spans="1:214" x14ac:dyDescent="0.25">
      <c r="A1299" s="296"/>
      <c r="B1299" s="18" t="s">
        <v>2406</v>
      </c>
      <c r="C1299" s="1">
        <v>-1305</v>
      </c>
      <c r="D1299" s="296"/>
      <c r="E1299" s="296"/>
      <c r="F1299" s="296"/>
      <c r="G1299" s="296"/>
      <c r="FE1299" s="1">
        <v>1305</v>
      </c>
    </row>
    <row r="1300" spans="1:214" x14ac:dyDescent="0.25">
      <c r="A1300" s="294"/>
      <c r="B1300" s="18" t="s">
        <v>2399</v>
      </c>
      <c r="C1300" s="1">
        <v>-2600</v>
      </c>
      <c r="D1300" s="294"/>
      <c r="E1300" s="294"/>
      <c r="F1300" s="294"/>
      <c r="G1300" s="294"/>
      <c r="FD1300" s="1">
        <v>2600</v>
      </c>
    </row>
    <row r="1301" spans="1:214" x14ac:dyDescent="0.25">
      <c r="A1301" s="294"/>
      <c r="B1301" s="18" t="s">
        <v>2400</v>
      </c>
      <c r="C1301" s="1">
        <v>-500</v>
      </c>
      <c r="D1301" s="294"/>
      <c r="E1301" s="294"/>
      <c r="F1301" s="294"/>
      <c r="G1301" s="294"/>
      <c r="FJ1301" s="1">
        <v>500</v>
      </c>
    </row>
    <row r="1302" spans="1:214" x14ac:dyDescent="0.25">
      <c r="A1302" s="294"/>
      <c r="B1302" s="18" t="s">
        <v>2401</v>
      </c>
      <c r="C1302" s="1">
        <v>-500</v>
      </c>
      <c r="D1302" s="294"/>
      <c r="E1302" s="294"/>
      <c r="F1302" s="294"/>
      <c r="G1302" s="294"/>
      <c r="FR1302" s="1">
        <v>500</v>
      </c>
    </row>
    <row r="1303" spans="1:214" x14ac:dyDescent="0.25">
      <c r="A1303" s="296" t="s">
        <v>2396</v>
      </c>
      <c r="B1303" s="18" t="s">
        <v>2402</v>
      </c>
      <c r="C1303" s="1">
        <v>-24000</v>
      </c>
      <c r="D1303" s="294"/>
      <c r="E1303" s="294"/>
      <c r="F1303" s="294"/>
      <c r="G1303" s="294"/>
      <c r="FF1303" s="1">
        <v>24000</v>
      </c>
    </row>
    <row r="1304" spans="1:214" x14ac:dyDescent="0.25">
      <c r="A1304" s="296" t="s">
        <v>2396</v>
      </c>
      <c r="B1304" s="18" t="s">
        <v>2403</v>
      </c>
      <c r="C1304" s="1">
        <v>-350</v>
      </c>
      <c r="D1304" s="294"/>
      <c r="E1304" s="294"/>
      <c r="F1304" s="294"/>
      <c r="G1304" s="294"/>
      <c r="HF1304" s="1">
        <v>350</v>
      </c>
    </row>
    <row r="1305" spans="1:214" x14ac:dyDescent="0.25">
      <c r="A1305" s="296" t="s">
        <v>2396</v>
      </c>
      <c r="B1305" s="18" t="s">
        <v>2405</v>
      </c>
      <c r="C1305" s="1">
        <v>-75</v>
      </c>
      <c r="D1305" s="294"/>
      <c r="E1305" s="294"/>
      <c r="F1305" s="294"/>
      <c r="G1305" s="294"/>
      <c r="GW1305" s="1">
        <v>75</v>
      </c>
    </row>
    <row r="1306" spans="1:214" x14ac:dyDescent="0.25">
      <c r="A1306" s="296" t="s">
        <v>2396</v>
      </c>
      <c r="B1306" s="18" t="s">
        <v>2341</v>
      </c>
      <c r="C1306" s="1">
        <v>-13000</v>
      </c>
      <c r="D1306" s="294"/>
      <c r="E1306" s="294">
        <v>13000</v>
      </c>
      <c r="F1306" s="294"/>
      <c r="G1306" s="294"/>
    </row>
    <row r="1307" spans="1:214" x14ac:dyDescent="0.25">
      <c r="A1307" s="297" t="s">
        <v>2407</v>
      </c>
      <c r="B1307" s="18" t="s">
        <v>2408</v>
      </c>
      <c r="C1307" s="1">
        <v>-5200</v>
      </c>
      <c r="D1307" s="297"/>
      <c r="E1307" s="297"/>
      <c r="F1307" s="297"/>
      <c r="G1307" s="297"/>
      <c r="GM1307" s="1">
        <v>5200</v>
      </c>
    </row>
    <row r="1308" spans="1:214" x14ac:dyDescent="0.25">
      <c r="A1308" s="297" t="s">
        <v>2407</v>
      </c>
      <c r="B1308" s="18" t="s">
        <v>2228</v>
      </c>
      <c r="C1308" s="1">
        <v>-57000</v>
      </c>
      <c r="D1308" s="297"/>
      <c r="E1308" s="297">
        <v>57000</v>
      </c>
      <c r="F1308" s="297"/>
      <c r="G1308" s="297"/>
    </row>
    <row r="1309" spans="1:214" x14ac:dyDescent="0.25">
      <c r="A1309" s="298" t="s">
        <v>2419</v>
      </c>
      <c r="B1309" s="18" t="s">
        <v>2420</v>
      </c>
      <c r="C1309" s="1">
        <v>-1280</v>
      </c>
      <c r="D1309" s="294"/>
      <c r="E1309" s="294"/>
      <c r="F1309" s="294"/>
      <c r="G1309" s="294"/>
      <c r="EK1309" s="1">
        <v>1280</v>
      </c>
    </row>
    <row r="1310" spans="1:214" x14ac:dyDescent="0.25">
      <c r="A1310" s="299" t="s">
        <v>2419</v>
      </c>
      <c r="B1310" s="18" t="s">
        <v>2228</v>
      </c>
      <c r="C1310" s="1">
        <v>-25000</v>
      </c>
      <c r="D1310" s="291"/>
      <c r="E1310" s="291">
        <v>25000</v>
      </c>
      <c r="F1310" s="291"/>
      <c r="G1310" s="291"/>
    </row>
    <row r="1311" spans="1:214" x14ac:dyDescent="0.25">
      <c r="A1311" s="302" t="s">
        <v>2309</v>
      </c>
      <c r="B1311" s="18" t="s">
        <v>2421</v>
      </c>
      <c r="C1311" s="1">
        <v>-100000</v>
      </c>
      <c r="D1311" s="301"/>
      <c r="E1311" s="301"/>
      <c r="F1311" s="301"/>
      <c r="G1311" s="301"/>
      <c r="AG1311" s="1">
        <v>100000</v>
      </c>
    </row>
    <row r="1312" spans="1:214" x14ac:dyDescent="0.25">
      <c r="A1312" s="302" t="s">
        <v>2309</v>
      </c>
      <c r="B1312" s="18" t="s">
        <v>2422</v>
      </c>
      <c r="C1312" s="1">
        <v>-900</v>
      </c>
      <c r="D1312" s="301"/>
      <c r="E1312" s="301"/>
      <c r="F1312" s="301"/>
      <c r="G1312" s="301"/>
      <c r="GM1312" s="1">
        <v>900</v>
      </c>
    </row>
    <row r="1313" spans="1:239" x14ac:dyDescent="0.25">
      <c r="A1313" s="302" t="s">
        <v>2309</v>
      </c>
      <c r="B1313" s="18" t="s">
        <v>2423</v>
      </c>
      <c r="C1313" s="1">
        <v>-500</v>
      </c>
      <c r="D1313" s="301"/>
      <c r="E1313" s="301"/>
      <c r="F1313" s="301"/>
      <c r="G1313" s="301"/>
      <c r="GK1313" s="1">
        <v>500</v>
      </c>
    </row>
    <row r="1314" spans="1:239" x14ac:dyDescent="0.25">
      <c r="A1314" s="302" t="s">
        <v>2309</v>
      </c>
      <c r="B1314" s="18" t="s">
        <v>2424</v>
      </c>
      <c r="C1314" s="1">
        <v>-200</v>
      </c>
      <c r="D1314" s="301"/>
      <c r="E1314" s="301"/>
      <c r="F1314" s="301"/>
      <c r="G1314" s="301"/>
      <c r="GN1314" s="1">
        <v>200</v>
      </c>
    </row>
    <row r="1315" spans="1:239" x14ac:dyDescent="0.25">
      <c r="A1315" s="302" t="s">
        <v>2309</v>
      </c>
      <c r="B1315" s="18" t="s">
        <v>2425</v>
      </c>
      <c r="C1315" s="1">
        <v>50000</v>
      </c>
      <c r="D1315" s="301"/>
      <c r="E1315" s="301">
        <v>-50000</v>
      </c>
      <c r="F1315" s="301"/>
      <c r="G1315" s="301"/>
    </row>
    <row r="1316" spans="1:239" x14ac:dyDescent="0.25">
      <c r="A1316" s="303" t="s">
        <v>2309</v>
      </c>
      <c r="B1316" s="18" t="s">
        <v>2426</v>
      </c>
      <c r="C1316" s="1">
        <v>-6000</v>
      </c>
      <c r="D1316" s="301"/>
      <c r="E1316" s="301"/>
      <c r="F1316" s="301"/>
      <c r="G1316" s="301"/>
      <c r="GK1316" s="1">
        <v>6000</v>
      </c>
    </row>
    <row r="1317" spans="1:239" x14ac:dyDescent="0.25">
      <c r="A1317" s="303" t="s">
        <v>2309</v>
      </c>
      <c r="B1317" s="18" t="s">
        <v>2427</v>
      </c>
      <c r="C1317" s="1">
        <v>-10700</v>
      </c>
      <c r="HG1317" s="1">
        <v>10700</v>
      </c>
    </row>
    <row r="1318" spans="1:239" x14ac:dyDescent="0.25">
      <c r="D1318" s="304"/>
      <c r="E1318" s="304"/>
      <c r="F1318" s="304"/>
      <c r="G1318" s="304"/>
    </row>
    <row r="1319" spans="1:239" x14ac:dyDescent="0.25">
      <c r="D1319" s="304"/>
      <c r="E1319" s="304"/>
      <c r="F1319" s="304"/>
      <c r="G1319" s="304"/>
    </row>
    <row r="1320" spans="1:239" x14ac:dyDescent="0.25">
      <c r="A1320" s="1"/>
      <c r="B1320" s="1"/>
      <c r="D1320" s="304"/>
      <c r="E1320" s="304"/>
      <c r="F1320" s="304"/>
      <c r="G1320" s="304"/>
    </row>
    <row r="1321" spans="1:239" x14ac:dyDescent="0.25">
      <c r="A1321" s="327"/>
      <c r="D1321" s="327"/>
      <c r="E1321" s="327"/>
      <c r="F1321" s="327"/>
      <c r="G1321" s="327"/>
    </row>
    <row r="1322" spans="1:239" x14ac:dyDescent="0.25">
      <c r="A1322" s="327"/>
      <c r="D1322" s="327"/>
      <c r="E1322" s="327"/>
      <c r="F1322" s="327"/>
      <c r="G1322" s="327"/>
    </row>
    <row r="1323" spans="1:239" x14ac:dyDescent="0.25">
      <c r="A1323" s="327"/>
      <c r="D1323" s="327"/>
      <c r="E1323" s="327"/>
      <c r="F1323" s="327"/>
      <c r="G1323" s="327"/>
    </row>
    <row r="1324" spans="1:239" x14ac:dyDescent="0.25">
      <c r="A1324" s="327"/>
      <c r="D1324" s="327"/>
      <c r="E1324" s="327"/>
      <c r="F1324" s="327"/>
      <c r="G1324" s="327"/>
    </row>
    <row r="1325" spans="1:239" x14ac:dyDescent="0.25">
      <c r="A1325" s="304"/>
      <c r="D1325" s="304"/>
      <c r="E1325" s="304"/>
      <c r="F1325" s="304"/>
      <c r="G1325" s="304"/>
    </row>
    <row r="1327" spans="1:239" x14ac:dyDescent="0.25">
      <c r="A1327" s="269" t="s">
        <v>2309</v>
      </c>
      <c r="B1327" s="85" t="s">
        <v>2437</v>
      </c>
      <c r="C1327" s="1">
        <f t="shared" ref="C1327:AH1327" si="55">SUM(C1229:C1326)</f>
        <v>1458</v>
      </c>
      <c r="D1327" s="1">
        <f t="shared" si="55"/>
        <v>0</v>
      </c>
      <c r="E1327" s="1">
        <f>SUM(E1229:E1326)</f>
        <v>45000</v>
      </c>
      <c r="F1327" s="1">
        <f t="shared" si="55"/>
        <v>-500000</v>
      </c>
      <c r="G1327" s="1">
        <f t="shared" si="55"/>
        <v>0</v>
      </c>
      <c r="H1327" s="1">
        <f t="shared" si="55"/>
        <v>-2600000</v>
      </c>
      <c r="I1327" s="1">
        <f t="shared" si="55"/>
        <v>0</v>
      </c>
      <c r="J1327" s="1">
        <f t="shared" si="55"/>
        <v>0</v>
      </c>
      <c r="K1327" s="1">
        <f t="shared" si="55"/>
        <v>0</v>
      </c>
      <c r="L1327" s="1">
        <f t="shared" si="55"/>
        <v>0</v>
      </c>
      <c r="M1327" s="1">
        <f t="shared" si="55"/>
        <v>0</v>
      </c>
      <c r="N1327" s="1">
        <f t="shared" si="55"/>
        <v>0</v>
      </c>
      <c r="O1327" s="1">
        <f t="shared" si="55"/>
        <v>0</v>
      </c>
      <c r="P1327" s="1">
        <f t="shared" si="55"/>
        <v>0</v>
      </c>
      <c r="Q1327" s="1">
        <f t="shared" si="55"/>
        <v>0</v>
      </c>
      <c r="R1327" s="1">
        <f t="shared" si="55"/>
        <v>0</v>
      </c>
      <c r="S1327" s="1">
        <f t="shared" si="55"/>
        <v>0</v>
      </c>
      <c r="T1327" s="1">
        <f t="shared" si="55"/>
        <v>0</v>
      </c>
      <c r="U1327" s="1">
        <f t="shared" si="55"/>
        <v>0</v>
      </c>
      <c r="V1327" s="1">
        <f t="shared" si="55"/>
        <v>0</v>
      </c>
      <c r="W1327" s="1">
        <f t="shared" si="55"/>
        <v>0</v>
      </c>
      <c r="X1327" s="1">
        <f t="shared" si="55"/>
        <v>0</v>
      </c>
      <c r="Y1327" s="1">
        <f t="shared" si="55"/>
        <v>0</v>
      </c>
      <c r="Z1327" s="1">
        <f t="shared" si="55"/>
        <v>0</v>
      </c>
      <c r="AA1327" s="1">
        <f t="shared" si="55"/>
        <v>0</v>
      </c>
      <c r="AB1327" s="1">
        <f t="shared" si="55"/>
        <v>72</v>
      </c>
      <c r="AC1327" s="1">
        <f t="shared" si="55"/>
        <v>25204</v>
      </c>
      <c r="AD1327" s="1">
        <f t="shared" si="55"/>
        <v>0</v>
      </c>
      <c r="AE1327" s="1">
        <f t="shared" si="55"/>
        <v>0</v>
      </c>
      <c r="AF1327" s="1">
        <f t="shared" si="55"/>
        <v>1212</v>
      </c>
      <c r="AG1327" s="1">
        <f t="shared" si="55"/>
        <v>3350000</v>
      </c>
      <c r="AH1327" s="1">
        <f t="shared" si="55"/>
        <v>0</v>
      </c>
      <c r="AI1327" s="1">
        <f t="shared" ref="AI1327:BN1327" si="56">SUM(AI1229:AI1326)</f>
        <v>0</v>
      </c>
      <c r="AJ1327" s="1">
        <f t="shared" si="56"/>
        <v>0</v>
      </c>
      <c r="AK1327" s="1">
        <f t="shared" si="56"/>
        <v>29000</v>
      </c>
      <c r="AL1327" s="1">
        <f t="shared" si="56"/>
        <v>49624</v>
      </c>
      <c r="AM1327" s="1">
        <f t="shared" si="56"/>
        <v>40000</v>
      </c>
      <c r="AN1327" s="1">
        <f t="shared" si="56"/>
        <v>0</v>
      </c>
      <c r="AO1327" s="1">
        <f t="shared" si="56"/>
        <v>20200</v>
      </c>
      <c r="AP1327" s="1">
        <f t="shared" si="56"/>
        <v>0</v>
      </c>
      <c r="AQ1327" s="1">
        <f t="shared" si="56"/>
        <v>0</v>
      </c>
      <c r="AR1327" s="1">
        <f t="shared" si="56"/>
        <v>59400</v>
      </c>
      <c r="AS1327" s="1">
        <f t="shared" si="56"/>
        <v>2278667</v>
      </c>
      <c r="AT1327" s="1">
        <f t="shared" si="56"/>
        <v>2400000</v>
      </c>
      <c r="AU1327" s="1">
        <f t="shared" si="56"/>
        <v>0</v>
      </c>
      <c r="AV1327" s="1">
        <f t="shared" si="56"/>
        <v>0</v>
      </c>
      <c r="AW1327" s="1">
        <f t="shared" si="56"/>
        <v>0</v>
      </c>
      <c r="AX1327" s="1">
        <f t="shared" si="56"/>
        <v>0</v>
      </c>
      <c r="AY1327" s="1">
        <f t="shared" si="56"/>
        <v>0</v>
      </c>
      <c r="AZ1327" s="1">
        <f t="shared" si="56"/>
        <v>170000</v>
      </c>
      <c r="BA1327" s="1">
        <f t="shared" si="56"/>
        <v>120000</v>
      </c>
      <c r="BB1327" s="1">
        <f t="shared" si="56"/>
        <v>53500</v>
      </c>
      <c r="BC1327" s="1">
        <f t="shared" si="56"/>
        <v>0</v>
      </c>
      <c r="BD1327" s="1">
        <f t="shared" si="56"/>
        <v>0</v>
      </c>
      <c r="BE1327" s="1">
        <f t="shared" si="56"/>
        <v>22000</v>
      </c>
      <c r="BF1327" s="1">
        <f t="shared" si="56"/>
        <v>127592</v>
      </c>
      <c r="BG1327" s="1">
        <f t="shared" si="56"/>
        <v>230000</v>
      </c>
      <c r="BH1327" s="1">
        <f t="shared" si="56"/>
        <v>0</v>
      </c>
      <c r="BI1327" s="1">
        <f t="shared" si="56"/>
        <v>0</v>
      </c>
      <c r="BJ1327" s="1">
        <f t="shared" si="56"/>
        <v>0</v>
      </c>
      <c r="BK1327" s="1">
        <f t="shared" si="56"/>
        <v>1400000</v>
      </c>
      <c r="BL1327" s="1">
        <f t="shared" si="56"/>
        <v>0</v>
      </c>
      <c r="BM1327" s="1">
        <f t="shared" si="56"/>
        <v>0</v>
      </c>
      <c r="BN1327" s="1">
        <f t="shared" si="56"/>
        <v>0</v>
      </c>
      <c r="BO1327" s="1">
        <f t="shared" ref="BO1327:CW1327" si="57">SUM(BO1229:BO1326)</f>
        <v>250000</v>
      </c>
      <c r="BP1327" s="1">
        <f t="shared" si="57"/>
        <v>0</v>
      </c>
      <c r="BQ1327" s="1">
        <f t="shared" si="57"/>
        <v>0</v>
      </c>
      <c r="BR1327" s="1">
        <f t="shared" si="57"/>
        <v>0</v>
      </c>
      <c r="BS1327" s="1">
        <f t="shared" si="57"/>
        <v>0</v>
      </c>
      <c r="BT1327" s="1">
        <f t="shared" si="57"/>
        <v>0</v>
      </c>
      <c r="BU1327" s="1">
        <f t="shared" si="57"/>
        <v>0</v>
      </c>
      <c r="BV1327" s="1">
        <f t="shared" si="57"/>
        <v>0</v>
      </c>
      <c r="BW1327" s="1">
        <f t="shared" si="57"/>
        <v>0</v>
      </c>
      <c r="BX1327" s="1">
        <f t="shared" si="57"/>
        <v>0</v>
      </c>
      <c r="BY1327" s="1">
        <f t="shared" si="57"/>
        <v>0</v>
      </c>
      <c r="BZ1327" s="1">
        <f t="shared" si="57"/>
        <v>0</v>
      </c>
      <c r="CA1327" s="1">
        <f t="shared" si="57"/>
        <v>0</v>
      </c>
      <c r="CB1327" s="1">
        <f t="shared" si="57"/>
        <v>0</v>
      </c>
      <c r="CC1327" s="1">
        <f t="shared" si="57"/>
        <v>0</v>
      </c>
      <c r="CD1327" s="1">
        <f t="shared" si="57"/>
        <v>0</v>
      </c>
      <c r="CE1327" s="1">
        <f t="shared" si="57"/>
        <v>0</v>
      </c>
      <c r="CF1327" s="1">
        <f t="shared" si="57"/>
        <v>0</v>
      </c>
      <c r="CG1327" s="1">
        <f t="shared" si="57"/>
        <v>0</v>
      </c>
      <c r="CH1327" s="1">
        <f t="shared" si="57"/>
        <v>0</v>
      </c>
      <c r="CI1327" s="1">
        <f t="shared" si="57"/>
        <v>0</v>
      </c>
      <c r="CJ1327" s="1">
        <f t="shared" si="57"/>
        <v>0</v>
      </c>
      <c r="CK1327" s="1">
        <f t="shared" si="57"/>
        <v>0</v>
      </c>
      <c r="CL1327" s="1">
        <f t="shared" si="57"/>
        <v>0</v>
      </c>
      <c r="CM1327" s="1">
        <f t="shared" si="57"/>
        <v>0</v>
      </c>
      <c r="CN1327" s="1">
        <f t="shared" si="57"/>
        <v>0</v>
      </c>
      <c r="CO1327" s="1">
        <f t="shared" si="57"/>
        <v>80</v>
      </c>
      <c r="CR1327" s="1">
        <f t="shared" si="57"/>
        <v>0</v>
      </c>
      <c r="CS1327" s="1">
        <f t="shared" si="57"/>
        <v>10400</v>
      </c>
      <c r="CT1327" s="1">
        <f t="shared" si="57"/>
        <v>0</v>
      </c>
      <c r="CV1327" s="1">
        <f t="shared" si="57"/>
        <v>0</v>
      </c>
      <c r="CW1327" s="1">
        <f t="shared" si="57"/>
        <v>5400</v>
      </c>
      <c r="CX1327" s="1">
        <f t="shared" ref="CX1327:ED1327" si="58">SUM(CX1229:CX1326)</f>
        <v>3870</v>
      </c>
      <c r="CY1327" s="1">
        <f t="shared" si="58"/>
        <v>0</v>
      </c>
      <c r="CZ1327" s="1">
        <f t="shared" si="58"/>
        <v>9000</v>
      </c>
      <c r="DA1327" s="1">
        <f t="shared" si="58"/>
        <v>32000</v>
      </c>
      <c r="DB1327" s="1">
        <f t="shared" si="58"/>
        <v>0</v>
      </c>
      <c r="DC1327" s="1">
        <f t="shared" si="58"/>
        <v>132887</v>
      </c>
      <c r="DD1327" s="1">
        <f t="shared" si="58"/>
        <v>200000</v>
      </c>
      <c r="DE1327" s="1">
        <f t="shared" si="58"/>
        <v>12500</v>
      </c>
      <c r="DF1327" s="1">
        <f t="shared" si="58"/>
        <v>0</v>
      </c>
      <c r="DG1327" s="1">
        <f t="shared" si="58"/>
        <v>0</v>
      </c>
      <c r="DI1327" s="1">
        <f t="shared" si="58"/>
        <v>100000</v>
      </c>
      <c r="DJ1327" s="1">
        <f t="shared" si="58"/>
        <v>0</v>
      </c>
      <c r="DK1327" s="1">
        <f t="shared" si="58"/>
        <v>613390</v>
      </c>
      <c r="DL1327" s="1">
        <f t="shared" si="58"/>
        <v>157680</v>
      </c>
      <c r="DM1327" s="1">
        <f t="shared" si="58"/>
        <v>53700</v>
      </c>
      <c r="DN1327" s="1">
        <f t="shared" si="58"/>
        <v>27500</v>
      </c>
      <c r="DO1327" s="1">
        <f t="shared" si="58"/>
        <v>685600</v>
      </c>
      <c r="DP1327" s="1">
        <f t="shared" si="58"/>
        <v>64240</v>
      </c>
      <c r="DQ1327" s="1">
        <f t="shared" si="58"/>
        <v>0</v>
      </c>
      <c r="DR1327" s="1">
        <f t="shared" si="58"/>
        <v>0</v>
      </c>
      <c r="DS1327" s="1">
        <f t="shared" si="58"/>
        <v>0</v>
      </c>
      <c r="DT1327" s="1">
        <f t="shared" si="58"/>
        <v>1533000</v>
      </c>
      <c r="DU1327" s="1">
        <f t="shared" si="58"/>
        <v>185000</v>
      </c>
      <c r="DV1327" s="1">
        <f t="shared" si="58"/>
        <v>0</v>
      </c>
      <c r="DW1327" s="1">
        <f t="shared" si="58"/>
        <v>18500</v>
      </c>
      <c r="DX1327" s="1">
        <f t="shared" si="58"/>
        <v>0</v>
      </c>
      <c r="DY1327" s="1">
        <f t="shared" si="58"/>
        <v>0</v>
      </c>
      <c r="DZ1327" s="1">
        <f t="shared" si="58"/>
        <v>15000</v>
      </c>
      <c r="EA1327" s="1">
        <f t="shared" si="58"/>
        <v>4500</v>
      </c>
      <c r="EB1327" s="1">
        <f t="shared" si="58"/>
        <v>220000</v>
      </c>
      <c r="EC1327" s="1">
        <f t="shared" si="58"/>
        <v>0</v>
      </c>
      <c r="ED1327" s="1">
        <f t="shared" si="58"/>
        <v>0</v>
      </c>
      <c r="EE1327" s="1">
        <f t="shared" ref="EE1327:FJ1327" si="59">SUM(EE1229:EE1326)</f>
        <v>0</v>
      </c>
      <c r="EF1327" s="1">
        <f t="shared" si="59"/>
        <v>0</v>
      </c>
      <c r="EG1327" s="1">
        <f t="shared" si="59"/>
        <v>555</v>
      </c>
      <c r="EH1327" s="1">
        <f t="shared" si="59"/>
        <v>0</v>
      </c>
      <c r="EI1327" s="1">
        <f t="shared" si="59"/>
        <v>816944</v>
      </c>
      <c r="EJ1327" s="1">
        <f t="shared" si="59"/>
        <v>202040</v>
      </c>
      <c r="EK1327" s="1">
        <f t="shared" si="59"/>
        <v>27640</v>
      </c>
      <c r="EL1327" s="1">
        <f t="shared" si="59"/>
        <v>16470</v>
      </c>
      <c r="EM1327" s="1">
        <f t="shared" si="59"/>
        <v>25400</v>
      </c>
      <c r="EN1327" s="1">
        <f t="shared" si="59"/>
        <v>1797500</v>
      </c>
      <c r="EO1327" s="1">
        <f t="shared" si="59"/>
        <v>0</v>
      </c>
      <c r="EP1327" s="1">
        <f t="shared" si="59"/>
        <v>503</v>
      </c>
      <c r="EQ1327" s="1">
        <f t="shared" si="59"/>
        <v>8600</v>
      </c>
      <c r="ER1327" s="1">
        <f t="shared" si="59"/>
        <v>22680</v>
      </c>
      <c r="ES1327" s="1">
        <f t="shared" si="59"/>
        <v>6195136</v>
      </c>
      <c r="ET1327" s="1">
        <f t="shared" si="59"/>
        <v>0</v>
      </c>
      <c r="EU1327" s="1">
        <f t="shared" si="59"/>
        <v>0</v>
      </c>
      <c r="EV1327" s="1">
        <f t="shared" si="59"/>
        <v>0</v>
      </c>
      <c r="EW1327" s="1">
        <f t="shared" si="59"/>
        <v>0</v>
      </c>
      <c r="EX1327" s="1">
        <f t="shared" si="59"/>
        <v>1805</v>
      </c>
      <c r="EY1327" s="1">
        <f t="shared" si="59"/>
        <v>1876</v>
      </c>
      <c r="EZ1327" s="1">
        <f t="shared" si="59"/>
        <v>0</v>
      </c>
      <c r="FA1327" s="1">
        <f t="shared" si="59"/>
        <v>541</v>
      </c>
      <c r="FB1327" s="1">
        <f t="shared" si="59"/>
        <v>0</v>
      </c>
      <c r="FC1327" s="1">
        <f t="shared" si="59"/>
        <v>332966</v>
      </c>
      <c r="FD1327" s="1">
        <f t="shared" si="59"/>
        <v>27360</v>
      </c>
      <c r="FE1327" s="1">
        <f t="shared" si="59"/>
        <v>136398</v>
      </c>
      <c r="FF1327" s="1">
        <f t="shared" si="59"/>
        <v>24000</v>
      </c>
      <c r="FG1327" s="1">
        <f t="shared" si="59"/>
        <v>80000</v>
      </c>
      <c r="FH1327" s="1">
        <f t="shared" si="59"/>
        <v>437500</v>
      </c>
      <c r="FI1327" s="1">
        <f t="shared" si="59"/>
        <v>698000</v>
      </c>
      <c r="FJ1327" s="1">
        <f t="shared" si="59"/>
        <v>167290</v>
      </c>
      <c r="FK1327" s="1">
        <f t="shared" ref="FK1327:GH1327" si="60">SUM(FK1229:FK1326)</f>
        <v>7600</v>
      </c>
      <c r="FL1327" s="1">
        <f t="shared" si="60"/>
        <v>1756</v>
      </c>
      <c r="FM1327" s="1">
        <f t="shared" si="60"/>
        <v>0</v>
      </c>
      <c r="FN1327" s="1">
        <f t="shared" si="60"/>
        <v>0</v>
      </c>
      <c r="FO1327" s="1">
        <f t="shared" si="60"/>
        <v>0</v>
      </c>
      <c r="FP1327" s="1">
        <f t="shared" si="60"/>
        <v>0</v>
      </c>
      <c r="FQ1327" s="1">
        <f t="shared" si="60"/>
        <v>0</v>
      </c>
      <c r="FR1327" s="1">
        <f t="shared" si="60"/>
        <v>18030</v>
      </c>
      <c r="FS1327" s="1">
        <f t="shared" si="60"/>
        <v>4519</v>
      </c>
      <c r="FT1327" s="1">
        <f t="shared" si="60"/>
        <v>0</v>
      </c>
      <c r="FU1327" s="1">
        <f t="shared" si="60"/>
        <v>0</v>
      </c>
      <c r="FV1327" s="1">
        <f t="shared" si="60"/>
        <v>0</v>
      </c>
      <c r="FW1327" s="1">
        <f t="shared" si="60"/>
        <v>0</v>
      </c>
      <c r="FX1327" s="1">
        <f t="shared" si="60"/>
        <v>0</v>
      </c>
      <c r="FY1327" s="1">
        <f t="shared" si="60"/>
        <v>0</v>
      </c>
      <c r="FZ1327" s="1">
        <f t="shared" si="60"/>
        <v>180</v>
      </c>
      <c r="GA1327" s="1">
        <f t="shared" si="60"/>
        <v>32500</v>
      </c>
      <c r="GB1327" s="1">
        <f t="shared" si="60"/>
        <v>19880</v>
      </c>
      <c r="GC1327" s="1">
        <f t="shared" si="60"/>
        <v>0</v>
      </c>
      <c r="GD1327" s="1">
        <f t="shared" si="60"/>
        <v>-200000</v>
      </c>
      <c r="GE1327" s="1">
        <f t="shared" si="60"/>
        <v>2500</v>
      </c>
      <c r="GF1327" s="1">
        <f t="shared" si="60"/>
        <v>26000</v>
      </c>
      <c r="GH1327" s="1">
        <f t="shared" si="60"/>
        <v>56100</v>
      </c>
      <c r="GJ1327" s="1">
        <f t="shared" ref="GJ1327:GP1327" si="61">SUM(GJ1229:GJ1326)</f>
        <v>1100</v>
      </c>
      <c r="GK1327" s="1">
        <f t="shared" si="61"/>
        <v>7140</v>
      </c>
      <c r="GL1327" s="1">
        <f t="shared" si="61"/>
        <v>700</v>
      </c>
      <c r="GM1327" s="1">
        <f t="shared" si="61"/>
        <v>14570</v>
      </c>
      <c r="GN1327" s="1">
        <f t="shared" si="61"/>
        <v>1150</v>
      </c>
      <c r="GO1327" s="1">
        <f t="shared" si="61"/>
        <v>150</v>
      </c>
      <c r="GP1327" s="1">
        <f t="shared" si="61"/>
        <v>363</v>
      </c>
      <c r="GR1327" s="1">
        <f t="shared" ref="GR1327:HG1327" si="62">SUM(GR1229:GR1326)</f>
        <v>5000</v>
      </c>
      <c r="GS1327" s="1">
        <f t="shared" si="62"/>
        <v>600</v>
      </c>
      <c r="GT1327" s="1">
        <f t="shared" si="62"/>
        <v>12000</v>
      </c>
      <c r="GU1327" s="1">
        <f t="shared" si="62"/>
        <v>7200</v>
      </c>
      <c r="GV1327" s="1">
        <f t="shared" si="62"/>
        <v>13165</v>
      </c>
      <c r="GW1327" s="1">
        <f t="shared" si="62"/>
        <v>1465</v>
      </c>
      <c r="GX1327" s="1">
        <f t="shared" si="62"/>
        <v>0</v>
      </c>
      <c r="GY1327" s="1">
        <f t="shared" si="62"/>
        <v>0</v>
      </c>
      <c r="GZ1327" s="1">
        <f t="shared" si="62"/>
        <v>0</v>
      </c>
      <c r="HA1327" s="1">
        <f t="shared" si="62"/>
        <v>170000</v>
      </c>
      <c r="HB1327" s="1">
        <f t="shared" si="62"/>
        <v>0</v>
      </c>
      <c r="HC1327" s="1">
        <f t="shared" si="62"/>
        <v>390000</v>
      </c>
      <c r="HD1327" s="1">
        <f t="shared" si="62"/>
        <v>3000</v>
      </c>
      <c r="HE1327" s="1">
        <f t="shared" si="62"/>
        <v>700</v>
      </c>
      <c r="HF1327" s="1">
        <f t="shared" si="62"/>
        <v>350</v>
      </c>
      <c r="HG1327" s="1">
        <f t="shared" si="62"/>
        <v>10700</v>
      </c>
      <c r="HH1327" s="1">
        <f t="shared" ref="HH1327:IE1327" si="63">SUM(HH1176:HH1326)</f>
        <v>-1500000</v>
      </c>
      <c r="HI1327" s="1">
        <f t="shared" si="63"/>
        <v>0</v>
      </c>
      <c r="HJ1327" s="1">
        <f t="shared" si="63"/>
        <v>0</v>
      </c>
      <c r="HK1327" s="1">
        <f t="shared" si="63"/>
        <v>0</v>
      </c>
      <c r="HL1327" s="1">
        <f t="shared" si="63"/>
        <v>0</v>
      </c>
      <c r="HM1327" s="1">
        <f t="shared" si="63"/>
        <v>0</v>
      </c>
      <c r="HN1327" s="1">
        <f t="shared" si="63"/>
        <v>0</v>
      </c>
      <c r="HO1327" s="1">
        <f t="shared" si="63"/>
        <v>0</v>
      </c>
      <c r="HP1327" s="1">
        <f t="shared" si="63"/>
        <v>0</v>
      </c>
      <c r="HQ1327" s="1">
        <f t="shared" si="63"/>
        <v>0</v>
      </c>
      <c r="HR1327" s="1">
        <f t="shared" si="63"/>
        <v>0</v>
      </c>
      <c r="HS1327" s="1">
        <f t="shared" si="63"/>
        <v>0</v>
      </c>
      <c r="HT1327" s="1">
        <f t="shared" si="63"/>
        <v>0</v>
      </c>
      <c r="HU1327" s="1">
        <f t="shared" si="63"/>
        <v>0</v>
      </c>
      <c r="HV1327" s="1">
        <f t="shared" si="63"/>
        <v>0</v>
      </c>
      <c r="HW1327" s="1">
        <f t="shared" si="63"/>
        <v>0</v>
      </c>
      <c r="HX1327" s="1">
        <f t="shared" si="63"/>
        <v>0</v>
      </c>
      <c r="HY1327" s="1">
        <f t="shared" si="63"/>
        <v>0</v>
      </c>
      <c r="HZ1327" s="1">
        <f t="shared" si="63"/>
        <v>0</v>
      </c>
      <c r="IA1327" s="1">
        <f t="shared" si="63"/>
        <v>0</v>
      </c>
      <c r="IB1327" s="1">
        <f t="shared" si="63"/>
        <v>0</v>
      </c>
      <c r="IC1327" s="1">
        <f t="shared" si="63"/>
        <v>0</v>
      </c>
      <c r="ID1327" s="1">
        <f t="shared" si="63"/>
        <v>0</v>
      </c>
      <c r="IE1327" s="1">
        <f t="shared" si="63"/>
        <v>0</v>
      </c>
    </row>
    <row r="1328" spans="1:239" x14ac:dyDescent="0.25">
      <c r="B1328" s="18">
        <v>0</v>
      </c>
    </row>
    <row r="1329" spans="1:216" x14ac:dyDescent="0.25">
      <c r="A1329" s="195" t="s">
        <v>2430</v>
      </c>
      <c r="B1329" s="18" t="s">
        <v>2431</v>
      </c>
      <c r="C1329" s="1">
        <v>-2645</v>
      </c>
      <c r="EK1329" s="1">
        <v>445</v>
      </c>
      <c r="GO1329" s="1">
        <f>2645-445</f>
        <v>2200</v>
      </c>
      <c r="GW1329" s="1">
        <v>445</v>
      </c>
    </row>
    <row r="1330" spans="1:216" x14ac:dyDescent="0.25">
      <c r="A1330" s="304" t="s">
        <v>2430</v>
      </c>
      <c r="B1330" s="18" t="s">
        <v>2432</v>
      </c>
      <c r="C1330" s="1">
        <v>-55</v>
      </c>
      <c r="GP1330" s="1">
        <v>55</v>
      </c>
    </row>
    <row r="1331" spans="1:216" x14ac:dyDescent="0.25">
      <c r="A1331" s="304" t="s">
        <v>2430</v>
      </c>
      <c r="B1331" s="18" t="s">
        <v>2433</v>
      </c>
      <c r="C1331" s="1">
        <v>1000000</v>
      </c>
      <c r="HH1331" s="1">
        <v>-1000000</v>
      </c>
    </row>
    <row r="1332" spans="1:216" x14ac:dyDescent="0.25">
      <c r="A1332" s="305" t="s">
        <v>2430</v>
      </c>
      <c r="B1332" s="18" t="s">
        <v>2435</v>
      </c>
      <c r="C1332" s="1">
        <f>-600000-80000</f>
        <v>-680000</v>
      </c>
      <c r="D1332" s="305"/>
      <c r="E1332" s="305">
        <v>680000</v>
      </c>
      <c r="F1332" s="305"/>
      <c r="G1332" s="305"/>
    </row>
    <row r="1333" spans="1:216" x14ac:dyDescent="0.25">
      <c r="A1333" s="305" t="s">
        <v>2430</v>
      </c>
      <c r="B1333" s="18" t="s">
        <v>2436</v>
      </c>
      <c r="C1333" s="1">
        <v>-1063</v>
      </c>
      <c r="D1333" s="305"/>
      <c r="E1333" s="305"/>
      <c r="F1333" s="305"/>
      <c r="G1333" s="305"/>
      <c r="EK1333" s="1">
        <v>1063</v>
      </c>
    </row>
    <row r="1334" spans="1:216" x14ac:dyDescent="0.25">
      <c r="A1334" s="306" t="s">
        <v>2430</v>
      </c>
      <c r="D1334" s="305"/>
      <c r="E1334" s="305"/>
      <c r="F1334" s="305"/>
      <c r="G1334" s="305"/>
    </row>
    <row r="1335" spans="1:216" x14ac:dyDescent="0.25">
      <c r="A1335" s="306" t="s">
        <v>2430</v>
      </c>
      <c r="B1335" s="41" t="s">
        <v>2438</v>
      </c>
      <c r="C1335" s="1">
        <v>-4000</v>
      </c>
      <c r="D1335" s="306"/>
      <c r="E1335" s="306"/>
      <c r="F1335" s="306"/>
      <c r="G1335" s="306"/>
      <c r="CS1335" s="1">
        <v>4000</v>
      </c>
    </row>
    <row r="1336" spans="1:216" x14ac:dyDescent="0.25">
      <c r="A1336" s="306" t="s">
        <v>2439</v>
      </c>
      <c r="B1336" s="18" t="s">
        <v>2440</v>
      </c>
      <c r="C1336" s="1">
        <v>-16500</v>
      </c>
      <c r="D1336" s="306"/>
      <c r="E1336" s="306"/>
      <c r="F1336" s="306"/>
      <c r="G1336" s="306"/>
      <c r="GU1336" s="1">
        <v>16500</v>
      </c>
    </row>
    <row r="1337" spans="1:216" x14ac:dyDescent="0.25">
      <c r="A1337" s="306" t="s">
        <v>2439</v>
      </c>
      <c r="B1337" s="18" t="s">
        <v>2441</v>
      </c>
      <c r="C1337" s="1">
        <v>-800</v>
      </c>
      <c r="D1337" s="306"/>
      <c r="E1337" s="306"/>
      <c r="F1337" s="306"/>
      <c r="G1337" s="306"/>
      <c r="GO1337" s="1">
        <v>800</v>
      </c>
    </row>
    <row r="1338" spans="1:216" x14ac:dyDescent="0.25">
      <c r="A1338" s="306" t="s">
        <v>2439</v>
      </c>
      <c r="B1338" s="18" t="s">
        <v>2442</v>
      </c>
      <c r="C1338" s="1">
        <v>-200</v>
      </c>
      <c r="D1338" s="306"/>
      <c r="E1338" s="306"/>
      <c r="F1338" s="306"/>
      <c r="G1338" s="306"/>
      <c r="GW1338" s="1">
        <v>200</v>
      </c>
    </row>
    <row r="1339" spans="1:216" x14ac:dyDescent="0.25">
      <c r="A1339" s="306" t="s">
        <v>2439</v>
      </c>
      <c r="B1339" s="18" t="s">
        <v>2435</v>
      </c>
      <c r="C1339" s="1">
        <f>-270000-15000</f>
        <v>-285000</v>
      </c>
      <c r="D1339" s="306"/>
      <c r="E1339" s="1">
        <f>285000</f>
        <v>285000</v>
      </c>
      <c r="F1339" s="306"/>
      <c r="G1339" s="306"/>
    </row>
    <row r="1340" spans="1:216" x14ac:dyDescent="0.25">
      <c r="A1340" s="306" t="s">
        <v>2439</v>
      </c>
      <c r="B1340" s="32" t="s">
        <v>2443</v>
      </c>
      <c r="C1340" s="1">
        <v>-1500</v>
      </c>
      <c r="D1340" s="306"/>
      <c r="E1340" s="306"/>
      <c r="F1340" s="306"/>
      <c r="G1340" s="306"/>
      <c r="AK1340" s="1">
        <v>1500</v>
      </c>
    </row>
    <row r="1341" spans="1:216" x14ac:dyDescent="0.25">
      <c r="A1341" s="328" t="s">
        <v>2439</v>
      </c>
      <c r="B1341" s="7" t="s">
        <v>2521</v>
      </c>
      <c r="D1341" s="328"/>
      <c r="E1341" s="328"/>
      <c r="F1341" s="328"/>
      <c r="G1341" s="328"/>
      <c r="AK1341" s="1">
        <v>-1000</v>
      </c>
      <c r="HE1341" s="1">
        <v>1000</v>
      </c>
    </row>
    <row r="1342" spans="1:216" x14ac:dyDescent="0.25">
      <c r="A1342" s="307" t="s">
        <v>2444</v>
      </c>
      <c r="B1342" s="7" t="s">
        <v>2445</v>
      </c>
      <c r="C1342" s="1">
        <v>-38000</v>
      </c>
      <c r="D1342" s="305"/>
      <c r="E1342" s="305"/>
      <c r="F1342" s="305"/>
      <c r="G1342" s="305"/>
      <c r="DA1342" s="1">
        <v>38000</v>
      </c>
    </row>
    <row r="1343" spans="1:216" x14ac:dyDescent="0.25">
      <c r="A1343" s="307" t="s">
        <v>2444</v>
      </c>
      <c r="B1343" s="18" t="s">
        <v>2446</v>
      </c>
      <c r="C1343" s="1">
        <v>40000</v>
      </c>
      <c r="D1343" s="307"/>
      <c r="E1343" s="307">
        <v>-40000</v>
      </c>
      <c r="F1343" s="307"/>
      <c r="G1343" s="307"/>
    </row>
    <row r="1344" spans="1:216" x14ac:dyDescent="0.25">
      <c r="A1344" s="308" t="s">
        <v>2448</v>
      </c>
      <c r="B1344" s="7" t="s">
        <v>2447</v>
      </c>
      <c r="C1344" s="1">
        <v>20000</v>
      </c>
      <c r="D1344" s="307"/>
      <c r="E1344" s="307">
        <v>-20000</v>
      </c>
      <c r="F1344" s="307"/>
      <c r="G1344" s="307"/>
    </row>
    <row r="1345" spans="1:168" x14ac:dyDescent="0.25">
      <c r="A1345" s="308" t="s">
        <v>2448</v>
      </c>
      <c r="B1345" s="18" t="s">
        <v>2452</v>
      </c>
      <c r="C1345" s="1">
        <v>-9250</v>
      </c>
      <c r="D1345" s="307"/>
      <c r="E1345" s="307"/>
      <c r="F1345" s="307"/>
      <c r="G1345" s="307"/>
      <c r="DC1345" s="1">
        <v>9250</v>
      </c>
    </row>
    <row r="1346" spans="1:168" x14ac:dyDescent="0.25">
      <c r="A1346" s="308" t="s">
        <v>2448</v>
      </c>
      <c r="B1346" s="18" t="s">
        <v>2451</v>
      </c>
      <c r="C1346" s="1">
        <v>-9000</v>
      </c>
      <c r="D1346" s="307"/>
      <c r="E1346" s="307"/>
      <c r="F1346" s="307"/>
      <c r="G1346" s="307"/>
      <c r="BT1346" s="1">
        <v>0</v>
      </c>
      <c r="EJ1346" s="1">
        <v>9000</v>
      </c>
    </row>
    <row r="1347" spans="1:168" x14ac:dyDescent="0.25">
      <c r="A1347" s="308" t="s">
        <v>2448</v>
      </c>
      <c r="B1347" s="18" t="s">
        <v>2450</v>
      </c>
      <c r="C1347" s="1">
        <v>-980</v>
      </c>
      <c r="D1347" s="307"/>
      <c r="E1347" s="307"/>
      <c r="F1347" s="307"/>
      <c r="G1347" s="307"/>
      <c r="EX1347" s="1">
        <v>980</v>
      </c>
    </row>
    <row r="1348" spans="1:168" x14ac:dyDescent="0.25">
      <c r="A1348" s="308" t="s">
        <v>2448</v>
      </c>
      <c r="B1348" s="18" t="s">
        <v>2449</v>
      </c>
      <c r="C1348" s="1">
        <v>-300</v>
      </c>
      <c r="D1348" s="307"/>
      <c r="E1348" s="307"/>
      <c r="F1348" s="307"/>
      <c r="G1348" s="307"/>
      <c r="FL1348" s="1">
        <v>300</v>
      </c>
    </row>
    <row r="1349" spans="1:168" x14ac:dyDescent="0.25">
      <c r="A1349" s="308" t="s">
        <v>2448</v>
      </c>
      <c r="B1349" s="18" t="s">
        <v>2453</v>
      </c>
      <c r="C1349" s="1">
        <v>-23</v>
      </c>
      <c r="D1349" s="307"/>
      <c r="E1349" s="307"/>
      <c r="F1349" s="307"/>
      <c r="G1349" s="307"/>
      <c r="DF1349" s="1">
        <v>23</v>
      </c>
      <c r="EP1349" s="1">
        <v>0</v>
      </c>
    </row>
    <row r="1350" spans="1:168" x14ac:dyDescent="0.25">
      <c r="A1350" s="309" t="s">
        <v>2455</v>
      </c>
      <c r="B1350" s="7" t="s">
        <v>2447</v>
      </c>
      <c r="C1350" s="1">
        <v>200000</v>
      </c>
      <c r="D1350" s="309"/>
      <c r="E1350" s="309">
        <v>-200000</v>
      </c>
      <c r="F1350" s="309"/>
      <c r="G1350" s="309"/>
    </row>
    <row r="1351" spans="1:168" x14ac:dyDescent="0.25">
      <c r="A1351" s="309" t="s">
        <v>2455</v>
      </c>
      <c r="B1351" s="173" t="s">
        <v>2456</v>
      </c>
      <c r="C1351" s="1">
        <v>-100000</v>
      </c>
      <c r="D1351" s="309"/>
      <c r="E1351" s="309"/>
      <c r="F1351" s="309"/>
      <c r="G1351" s="309"/>
      <c r="DI1351" s="1">
        <v>100000</v>
      </c>
    </row>
    <row r="1352" spans="1:168" x14ac:dyDescent="0.25">
      <c r="A1352" s="310" t="s">
        <v>2455</v>
      </c>
      <c r="B1352" s="18" t="s">
        <v>2454</v>
      </c>
      <c r="C1352" s="1">
        <v>-100000</v>
      </c>
      <c r="D1352" s="309"/>
      <c r="E1352" s="309"/>
      <c r="F1352" s="309"/>
      <c r="G1352" s="309"/>
      <c r="DD1352" s="1">
        <v>100000</v>
      </c>
    </row>
    <row r="1353" spans="1:168" x14ac:dyDescent="0.25">
      <c r="A1353" s="311" t="s">
        <v>2457</v>
      </c>
      <c r="B1353" s="7" t="s">
        <v>2458</v>
      </c>
      <c r="C1353" s="1">
        <v>-500000</v>
      </c>
      <c r="D1353" s="309"/>
      <c r="E1353" s="309"/>
      <c r="F1353" s="309"/>
      <c r="G1353" s="309"/>
      <c r="AS1353" s="1">
        <v>500000</v>
      </c>
    </row>
    <row r="1354" spans="1:168" x14ac:dyDescent="0.25">
      <c r="A1354" s="311" t="s">
        <v>2457</v>
      </c>
      <c r="B1354" s="7" t="s">
        <v>2464</v>
      </c>
      <c r="C1354" s="1">
        <v>500000</v>
      </c>
      <c r="D1354" s="309"/>
      <c r="E1354" s="309">
        <v>-500000</v>
      </c>
      <c r="F1354" s="309"/>
      <c r="G1354" s="309"/>
    </row>
    <row r="1355" spans="1:168" x14ac:dyDescent="0.25">
      <c r="A1355" s="312" t="s">
        <v>2459</v>
      </c>
      <c r="B1355" s="7" t="s">
        <v>2460</v>
      </c>
      <c r="C1355" s="1">
        <f>-2750-550</f>
        <v>-3300</v>
      </c>
      <c r="D1355" s="312"/>
      <c r="E1355" s="312"/>
      <c r="F1355" s="312"/>
      <c r="G1355" s="312"/>
      <c r="DC1355" s="1">
        <v>3300</v>
      </c>
    </row>
    <row r="1356" spans="1:168" x14ac:dyDescent="0.25">
      <c r="A1356" s="312" t="s">
        <v>2461</v>
      </c>
      <c r="B1356" s="7" t="s">
        <v>2462</v>
      </c>
      <c r="C1356" s="1">
        <v>-3000</v>
      </c>
      <c r="D1356" s="312"/>
      <c r="E1356" s="312"/>
      <c r="F1356" s="312"/>
      <c r="G1356" s="312"/>
      <c r="EJ1356" s="1">
        <v>3000</v>
      </c>
    </row>
    <row r="1357" spans="1:168" x14ac:dyDescent="0.25">
      <c r="A1357" s="312"/>
      <c r="B1357" s="7"/>
      <c r="D1357" s="312"/>
      <c r="E1357" s="312"/>
      <c r="F1357" s="312"/>
      <c r="G1357" s="312"/>
    </row>
    <row r="1358" spans="1:168" s="4" customFormat="1" x14ac:dyDescent="0.25">
      <c r="A1358" s="313"/>
      <c r="D1358" s="313"/>
      <c r="E1358" s="313"/>
      <c r="F1358" s="313"/>
      <c r="G1358" s="313"/>
      <c r="DS1358" s="12"/>
      <c r="DT1358" s="12"/>
      <c r="DU1358" s="12"/>
    </row>
    <row r="1359" spans="1:168" x14ac:dyDescent="0.25">
      <c r="A1359" s="314" t="s">
        <v>2463</v>
      </c>
      <c r="B1359" s="7" t="s">
        <v>2465</v>
      </c>
      <c r="C1359" s="1">
        <v>200000</v>
      </c>
      <c r="D1359" s="312"/>
      <c r="E1359" s="312">
        <v>-200000</v>
      </c>
      <c r="F1359" s="312"/>
      <c r="G1359" s="312"/>
    </row>
    <row r="1360" spans="1:168" x14ac:dyDescent="0.25">
      <c r="A1360" s="314" t="s">
        <v>2463</v>
      </c>
      <c r="B1360" s="173" t="s">
        <v>2466</v>
      </c>
      <c r="C1360" s="1">
        <v>-100000</v>
      </c>
      <c r="D1360" s="312"/>
      <c r="E1360" s="312"/>
      <c r="F1360" s="312"/>
      <c r="G1360" s="312"/>
      <c r="DI1360" s="1">
        <v>100000</v>
      </c>
    </row>
    <row r="1361" spans="1:205" x14ac:dyDescent="0.25">
      <c r="A1361" s="314" t="s">
        <v>2463</v>
      </c>
      <c r="B1361" s="18" t="s">
        <v>2467</v>
      </c>
      <c r="C1361" s="1">
        <v>-100000</v>
      </c>
      <c r="D1361" s="312"/>
      <c r="E1361" s="312"/>
      <c r="F1361" s="312"/>
      <c r="G1361" s="312"/>
      <c r="DD1361" s="1">
        <v>100000</v>
      </c>
    </row>
    <row r="1362" spans="1:205" x14ac:dyDescent="0.25">
      <c r="A1362" s="314" t="s">
        <v>2463</v>
      </c>
      <c r="B1362" s="7" t="s">
        <v>2465</v>
      </c>
      <c r="C1362" s="1">
        <f>15000+35000</f>
        <v>50000</v>
      </c>
      <c r="D1362" s="314"/>
      <c r="E1362" s="314">
        <f>-15000-35000</f>
        <v>-50000</v>
      </c>
      <c r="F1362" s="314"/>
      <c r="G1362" s="314"/>
    </row>
    <row r="1363" spans="1:205" x14ac:dyDescent="0.25">
      <c r="A1363" s="314" t="s">
        <v>2463</v>
      </c>
      <c r="B1363" s="18" t="s">
        <v>2468</v>
      </c>
      <c r="C1363" s="1">
        <v>-12400</v>
      </c>
      <c r="D1363" s="314"/>
      <c r="E1363" s="314"/>
      <c r="F1363" s="314"/>
      <c r="G1363" s="314"/>
      <c r="GQ1363" s="1">
        <v>12400</v>
      </c>
    </row>
    <row r="1364" spans="1:205" x14ac:dyDescent="0.25">
      <c r="A1364" s="314" t="s">
        <v>2463</v>
      </c>
      <c r="B1364" s="18" t="s">
        <v>2442</v>
      </c>
      <c r="C1364" s="1">
        <v>-100</v>
      </c>
      <c r="D1364" s="314"/>
      <c r="E1364" s="314"/>
      <c r="F1364" s="314"/>
      <c r="G1364" s="314"/>
      <c r="GW1364" s="1">
        <v>100</v>
      </c>
    </row>
    <row r="1365" spans="1:205" x14ac:dyDescent="0.25">
      <c r="A1365" s="314" t="s">
        <v>2463</v>
      </c>
      <c r="B1365" s="173" t="s">
        <v>1607</v>
      </c>
      <c r="C1365" s="1">
        <v>-35000</v>
      </c>
      <c r="D1365" s="314"/>
      <c r="E1365" s="314"/>
      <c r="F1365" s="314"/>
      <c r="G1365" s="314"/>
      <c r="DO1365" s="1">
        <v>35000</v>
      </c>
    </row>
    <row r="1366" spans="1:205" x14ac:dyDescent="0.25">
      <c r="A1366" s="316" t="s">
        <v>2463</v>
      </c>
      <c r="B1366" s="32" t="s">
        <v>2470</v>
      </c>
      <c r="C1366" s="1">
        <v>-500</v>
      </c>
      <c r="D1366" s="314"/>
      <c r="E1366" s="314"/>
      <c r="F1366" s="314"/>
      <c r="G1366" s="314"/>
    </row>
    <row r="1367" spans="1:205" x14ac:dyDescent="0.25">
      <c r="A1367" s="317" t="s">
        <v>2471</v>
      </c>
      <c r="B1367" s="41" t="s">
        <v>2472</v>
      </c>
      <c r="C1367" s="1">
        <v>-4000</v>
      </c>
      <c r="D1367" s="314"/>
      <c r="E1367" s="314"/>
      <c r="F1367" s="314"/>
      <c r="G1367" s="314"/>
      <c r="CS1367" s="1">
        <v>4000</v>
      </c>
    </row>
    <row r="1368" spans="1:205" x14ac:dyDescent="0.25">
      <c r="A1368" s="318" t="s">
        <v>2471</v>
      </c>
      <c r="B1368" s="18" t="s">
        <v>2473</v>
      </c>
      <c r="C1368" s="1">
        <v>-300</v>
      </c>
      <c r="D1368" s="314"/>
      <c r="E1368" s="314"/>
      <c r="F1368" s="314"/>
      <c r="G1368" s="314"/>
      <c r="GW1368" s="1">
        <v>300</v>
      </c>
    </row>
    <row r="1369" spans="1:205" x14ac:dyDescent="0.25">
      <c r="A1369" s="319" t="s">
        <v>2474</v>
      </c>
      <c r="B1369" s="18" t="s">
        <v>2465</v>
      </c>
      <c r="C1369" s="1">
        <v>18000</v>
      </c>
      <c r="D1369" s="314"/>
      <c r="E1369" s="314">
        <v>-18000</v>
      </c>
      <c r="F1369" s="314"/>
      <c r="G1369" s="314"/>
    </row>
    <row r="1370" spans="1:205" x14ac:dyDescent="0.25">
      <c r="A1370" s="319" t="s">
        <v>2474</v>
      </c>
      <c r="B1370" s="7" t="s">
        <v>2475</v>
      </c>
      <c r="C1370" s="1">
        <v>-18000</v>
      </c>
      <c r="D1370" s="312"/>
      <c r="E1370" s="312"/>
      <c r="F1370" s="312"/>
      <c r="G1370" s="312"/>
      <c r="AL1370" s="1">
        <v>18000</v>
      </c>
    </row>
    <row r="1371" spans="1:205" x14ac:dyDescent="0.25">
      <c r="A1371" s="320" t="s">
        <v>2476</v>
      </c>
      <c r="B1371" s="18" t="s">
        <v>2473</v>
      </c>
      <c r="C1371" s="1">
        <v>-300</v>
      </c>
      <c r="D1371" s="309"/>
      <c r="E1371" s="309"/>
      <c r="F1371" s="309"/>
      <c r="G1371" s="309"/>
      <c r="GW1371" s="1">
        <v>300</v>
      </c>
    </row>
    <row r="1372" spans="1:205" x14ac:dyDescent="0.25">
      <c r="A1372" s="321" t="s">
        <v>2476</v>
      </c>
      <c r="B1372" s="18" t="s">
        <v>2465</v>
      </c>
      <c r="C1372" s="1">
        <v>9200</v>
      </c>
      <c r="D1372" s="320"/>
      <c r="E1372" s="320">
        <v>-9200</v>
      </c>
      <c r="F1372" s="320"/>
      <c r="G1372" s="320"/>
    </row>
    <row r="1373" spans="1:205" x14ac:dyDescent="0.25">
      <c r="A1373" s="321" t="s">
        <v>2476</v>
      </c>
      <c r="B1373" s="18" t="s">
        <v>2477</v>
      </c>
      <c r="C1373" s="1">
        <v>-8000</v>
      </c>
      <c r="D1373" s="320"/>
      <c r="E1373" s="320"/>
      <c r="F1373" s="320"/>
      <c r="G1373" s="320"/>
      <c r="FJ1373" s="1">
        <v>8000</v>
      </c>
    </row>
    <row r="1374" spans="1:205" x14ac:dyDescent="0.25">
      <c r="A1374" s="321" t="s">
        <v>2476</v>
      </c>
      <c r="B1374" s="18" t="s">
        <v>2478</v>
      </c>
      <c r="C1374" s="1">
        <v>-1200</v>
      </c>
      <c r="D1374" s="320"/>
      <c r="E1374" s="320"/>
      <c r="F1374" s="320"/>
      <c r="G1374" s="320"/>
      <c r="FR1374" s="1">
        <v>1200</v>
      </c>
    </row>
    <row r="1375" spans="1:205" x14ac:dyDescent="0.25">
      <c r="A1375" s="322" t="s">
        <v>2479</v>
      </c>
      <c r="B1375" s="18" t="s">
        <v>2465</v>
      </c>
      <c r="C1375" s="1">
        <v>40550</v>
      </c>
      <c r="D1375" s="322"/>
      <c r="E1375" s="322">
        <v>-40550</v>
      </c>
      <c r="F1375" s="322"/>
      <c r="G1375" s="322"/>
    </row>
    <row r="1376" spans="1:205" x14ac:dyDescent="0.25">
      <c r="A1376" s="322" t="s">
        <v>2479</v>
      </c>
      <c r="B1376" s="18" t="s">
        <v>2480</v>
      </c>
      <c r="C1376" s="1">
        <v>-40550</v>
      </c>
      <c r="D1376" s="322"/>
      <c r="E1376" s="322"/>
      <c r="F1376" s="322"/>
      <c r="G1376" s="322"/>
      <c r="DA1376" s="1">
        <v>40550</v>
      </c>
    </row>
    <row r="1377" spans="1:210" x14ac:dyDescent="0.25">
      <c r="A1377" s="322" t="s">
        <v>2479</v>
      </c>
      <c r="B1377" s="18" t="s">
        <v>2481</v>
      </c>
      <c r="C1377" s="1">
        <v>-200</v>
      </c>
      <c r="D1377" s="322"/>
      <c r="E1377" s="322"/>
      <c r="F1377" s="322"/>
      <c r="G1377" s="322"/>
      <c r="CX1377" s="1">
        <v>200</v>
      </c>
    </row>
    <row r="1378" spans="1:210" x14ac:dyDescent="0.25">
      <c r="A1378" s="323" t="s">
        <v>2487</v>
      </c>
      <c r="B1378" s="18" t="s">
        <v>2488</v>
      </c>
      <c r="C1378" s="1">
        <v>-40</v>
      </c>
      <c r="D1378" s="322"/>
      <c r="E1378" s="322"/>
      <c r="F1378" s="322"/>
      <c r="G1378" s="322"/>
      <c r="CO1378" s="1">
        <v>40</v>
      </c>
    </row>
    <row r="1379" spans="1:210" x14ac:dyDescent="0.25">
      <c r="A1379" s="323" t="s">
        <v>2487</v>
      </c>
      <c r="B1379" s="18" t="s">
        <v>2465</v>
      </c>
      <c r="C1379" s="1">
        <v>50000</v>
      </c>
      <c r="D1379" s="323"/>
      <c r="E1379" s="323">
        <v>-50000</v>
      </c>
      <c r="F1379" s="323"/>
      <c r="G1379" s="323"/>
    </row>
    <row r="1380" spans="1:210" x14ac:dyDescent="0.25">
      <c r="A1380" s="323" t="s">
        <v>2487</v>
      </c>
      <c r="B1380" s="18" t="s">
        <v>2489</v>
      </c>
      <c r="C1380" s="1">
        <v>-50000</v>
      </c>
      <c r="D1380" s="323"/>
      <c r="E1380" s="323"/>
      <c r="F1380" s="323"/>
      <c r="G1380" s="323"/>
      <c r="HA1380" s="1">
        <v>14000</v>
      </c>
      <c r="HB1380" s="1">
        <v>36000</v>
      </c>
    </row>
    <row r="1381" spans="1:210" x14ac:dyDescent="0.25">
      <c r="A1381" s="324" t="s">
        <v>2490</v>
      </c>
      <c r="B1381" s="18" t="s">
        <v>2465</v>
      </c>
      <c r="C1381" s="1">
        <f>5000+18500</f>
        <v>23500</v>
      </c>
      <c r="D1381" s="324"/>
      <c r="E1381" s="324">
        <f>-5000-18500</f>
        <v>-23500</v>
      </c>
      <c r="F1381" s="324"/>
      <c r="G1381" s="324"/>
    </row>
    <row r="1382" spans="1:210" x14ac:dyDescent="0.25">
      <c r="A1382" s="324" t="s">
        <v>2490</v>
      </c>
      <c r="B1382" s="18" t="s">
        <v>2491</v>
      </c>
      <c r="C1382" s="1">
        <v>-18500</v>
      </c>
      <c r="D1382" s="323"/>
      <c r="E1382" s="323"/>
      <c r="F1382" s="323"/>
      <c r="G1382" s="323"/>
      <c r="DC1382" s="1">
        <v>18500</v>
      </c>
    </row>
    <row r="1383" spans="1:210" x14ac:dyDescent="0.25">
      <c r="A1383" s="325" t="s">
        <v>2490</v>
      </c>
      <c r="B1383" s="18" t="s">
        <v>2465</v>
      </c>
      <c r="C1383" s="1">
        <v>89000</v>
      </c>
      <c r="D1383" s="323"/>
      <c r="E1383" s="323">
        <v>-89000</v>
      </c>
      <c r="F1383" s="323"/>
      <c r="G1383" s="323"/>
    </row>
    <row r="1384" spans="1:210" x14ac:dyDescent="0.25">
      <c r="A1384" s="325" t="s">
        <v>2490</v>
      </c>
      <c r="B1384" s="18" t="s">
        <v>2503</v>
      </c>
      <c r="C1384" s="1">
        <v>-89000</v>
      </c>
      <c r="D1384" s="324"/>
      <c r="E1384" s="324"/>
      <c r="F1384" s="324"/>
      <c r="G1384" s="324"/>
      <c r="HA1384" s="1">
        <v>89000</v>
      </c>
    </row>
    <row r="1385" spans="1:210" x14ac:dyDescent="0.25">
      <c r="A1385" s="325" t="s">
        <v>2495</v>
      </c>
      <c r="B1385" s="18" t="s">
        <v>2502</v>
      </c>
      <c r="C1385" s="1">
        <v>500000</v>
      </c>
      <c r="D1385" s="324"/>
      <c r="E1385" s="324"/>
      <c r="F1385" s="324"/>
      <c r="G1385" s="324"/>
      <c r="H1385" s="1">
        <v>-500000</v>
      </c>
    </row>
    <row r="1386" spans="1:210" x14ac:dyDescent="0.25">
      <c r="A1386" s="325" t="s">
        <v>2495</v>
      </c>
      <c r="B1386" s="1" t="s">
        <v>2493</v>
      </c>
      <c r="C1386" s="1">
        <v>-17500</v>
      </c>
      <c r="D1386" s="324"/>
      <c r="E1386" s="324"/>
      <c r="F1386" s="324"/>
      <c r="G1386" s="324"/>
      <c r="GX1386" s="1">
        <v>17500</v>
      </c>
    </row>
    <row r="1387" spans="1:210" x14ac:dyDescent="0.25">
      <c r="A1387" s="325" t="s">
        <v>2495</v>
      </c>
      <c r="B1387" s="18" t="s">
        <v>2496</v>
      </c>
      <c r="C1387" s="1">
        <v>-230250</v>
      </c>
      <c r="D1387" s="323"/>
      <c r="E1387" s="323">
        <v>230250</v>
      </c>
      <c r="F1387" s="323"/>
      <c r="G1387" s="323"/>
    </row>
    <row r="1388" spans="1:210" x14ac:dyDescent="0.25">
      <c r="A1388" s="326" t="s">
        <v>2497</v>
      </c>
      <c r="B1388" s="18" t="s">
        <v>2499</v>
      </c>
      <c r="C1388" s="1">
        <v>-5000</v>
      </c>
      <c r="D1388" s="326"/>
      <c r="E1388" s="326"/>
      <c r="F1388" s="326"/>
      <c r="G1388" s="326"/>
      <c r="GK1388" s="1">
        <v>0</v>
      </c>
      <c r="GY1388" s="1">
        <v>5000</v>
      </c>
    </row>
    <row r="1389" spans="1:210" x14ac:dyDescent="0.25">
      <c r="A1389" s="326" t="s">
        <v>2497</v>
      </c>
      <c r="B1389" s="18" t="s">
        <v>2498</v>
      </c>
      <c r="C1389" s="1">
        <v>-1000</v>
      </c>
      <c r="D1389" s="326"/>
      <c r="E1389" s="326"/>
      <c r="F1389" s="326"/>
      <c r="G1389" s="326"/>
      <c r="GL1389" s="1">
        <v>1000</v>
      </c>
    </row>
    <row r="1390" spans="1:210" x14ac:dyDescent="0.25">
      <c r="A1390" s="326" t="s">
        <v>2497</v>
      </c>
      <c r="B1390" s="18" t="s">
        <v>2500</v>
      </c>
      <c r="C1390" s="1">
        <v>-600</v>
      </c>
      <c r="D1390" s="326"/>
      <c r="E1390" s="326"/>
      <c r="F1390" s="326"/>
      <c r="G1390" s="326"/>
      <c r="GN1390" s="1">
        <v>600</v>
      </c>
    </row>
    <row r="1391" spans="1:210" x14ac:dyDescent="0.25">
      <c r="A1391" s="326" t="s">
        <v>2497</v>
      </c>
      <c r="B1391" s="18" t="s">
        <v>2473</v>
      </c>
      <c r="C1391" s="1">
        <v>-300</v>
      </c>
      <c r="D1391" s="326"/>
      <c r="E1391" s="326"/>
      <c r="F1391" s="326"/>
      <c r="G1391" s="326"/>
      <c r="GW1391" s="1">
        <v>300</v>
      </c>
    </row>
    <row r="1392" spans="1:210" x14ac:dyDescent="0.25">
      <c r="A1392" s="326" t="s">
        <v>2497</v>
      </c>
      <c r="B1392" s="18" t="s">
        <v>2501</v>
      </c>
      <c r="C1392" s="1">
        <v>-250</v>
      </c>
      <c r="D1392" s="326"/>
      <c r="E1392" s="326"/>
      <c r="F1392" s="326"/>
      <c r="G1392" s="326"/>
      <c r="GN1392" s="1">
        <v>250</v>
      </c>
    </row>
    <row r="1393" spans="1:205" x14ac:dyDescent="0.25">
      <c r="A1393" s="326" t="s">
        <v>2497</v>
      </c>
      <c r="B1393" s="18" t="s">
        <v>2504</v>
      </c>
      <c r="C1393" s="1">
        <v>-25000</v>
      </c>
      <c r="D1393" s="326"/>
      <c r="E1393" s="326"/>
      <c r="F1393" s="326"/>
      <c r="G1393" s="326"/>
      <c r="AG1393" s="1">
        <v>25000</v>
      </c>
    </row>
    <row r="1394" spans="1:205" x14ac:dyDescent="0.25">
      <c r="A1394" s="327" t="s">
        <v>2505</v>
      </c>
      <c r="B1394" s="32" t="s">
        <v>2514</v>
      </c>
      <c r="D1394" s="326"/>
      <c r="E1394" s="326"/>
      <c r="F1394" s="326"/>
      <c r="G1394" s="326"/>
      <c r="AL1394" s="1">
        <v>-46800</v>
      </c>
    </row>
    <row r="1395" spans="1:205" x14ac:dyDescent="0.25">
      <c r="A1395" s="327"/>
      <c r="B1395" s="18" t="s">
        <v>2506</v>
      </c>
      <c r="D1395" s="326"/>
      <c r="E1395" s="326"/>
      <c r="F1395" s="326"/>
      <c r="G1395" s="326"/>
      <c r="AK1395" s="1">
        <v>8000</v>
      </c>
    </row>
    <row r="1396" spans="1:205" x14ac:dyDescent="0.25">
      <c r="A1396" s="327"/>
      <c r="B1396" s="18" t="s">
        <v>2507</v>
      </c>
      <c r="D1396" s="326"/>
      <c r="E1396" s="326"/>
      <c r="F1396" s="326"/>
      <c r="G1396" s="326"/>
      <c r="AI1396" s="1">
        <v>15000</v>
      </c>
    </row>
    <row r="1397" spans="1:205" x14ac:dyDescent="0.25">
      <c r="A1397" s="326"/>
      <c r="B1397" s="18" t="s">
        <v>2510</v>
      </c>
      <c r="D1397" s="326"/>
      <c r="E1397" s="326"/>
      <c r="F1397" s="326"/>
      <c r="G1397" s="326"/>
    </row>
    <row r="1398" spans="1:205" x14ac:dyDescent="0.25">
      <c r="A1398" s="326"/>
      <c r="B1398" s="18" t="s">
        <v>2508</v>
      </c>
      <c r="D1398" s="326"/>
      <c r="E1398" s="326"/>
      <c r="F1398" s="326"/>
      <c r="G1398" s="326"/>
      <c r="ES1398" s="1">
        <v>500</v>
      </c>
    </row>
    <row r="1399" spans="1:205" x14ac:dyDescent="0.25">
      <c r="A1399" s="326"/>
      <c r="B1399" s="18" t="s">
        <v>2509</v>
      </c>
      <c r="D1399" s="326"/>
      <c r="E1399" s="326"/>
      <c r="F1399" s="326"/>
      <c r="G1399" s="326"/>
      <c r="ES1399" s="1">
        <v>14950</v>
      </c>
    </row>
    <row r="1400" spans="1:205" x14ac:dyDescent="0.25">
      <c r="A1400" s="326"/>
      <c r="B1400" s="18" t="s">
        <v>2512</v>
      </c>
      <c r="D1400" s="326"/>
      <c r="E1400" s="326"/>
      <c r="F1400" s="326"/>
      <c r="G1400" s="326"/>
      <c r="FR1400" s="1">
        <v>4950</v>
      </c>
    </row>
    <row r="1401" spans="1:205" x14ac:dyDescent="0.25">
      <c r="A1401" s="326"/>
      <c r="B1401" s="18" t="s">
        <v>2511</v>
      </c>
      <c r="D1401" s="326"/>
      <c r="E1401" s="326"/>
      <c r="F1401" s="326"/>
      <c r="G1401" s="326"/>
      <c r="FR1401" s="1">
        <v>3400</v>
      </c>
    </row>
    <row r="1402" spans="1:205" x14ac:dyDescent="0.25">
      <c r="A1402" s="327" t="s">
        <v>2505</v>
      </c>
      <c r="B1402" s="32" t="s">
        <v>2519</v>
      </c>
      <c r="D1402" s="327"/>
      <c r="E1402" s="327"/>
      <c r="F1402" s="327"/>
      <c r="G1402" s="327"/>
      <c r="AL1402" s="1">
        <v>-12570</v>
      </c>
    </row>
    <row r="1403" spans="1:205" x14ac:dyDescent="0.25">
      <c r="A1403" s="327"/>
      <c r="B1403" s="18" t="s">
        <v>2515</v>
      </c>
      <c r="D1403" s="327"/>
      <c r="E1403" s="327"/>
      <c r="F1403" s="327"/>
      <c r="G1403" s="327"/>
      <c r="EK1403" s="1">
        <v>1400</v>
      </c>
    </row>
    <row r="1404" spans="1:205" x14ac:dyDescent="0.25">
      <c r="A1404" s="327"/>
      <c r="B1404" s="18" t="s">
        <v>2516</v>
      </c>
      <c r="D1404" s="327"/>
      <c r="E1404" s="327"/>
      <c r="F1404" s="327"/>
      <c r="G1404" s="327"/>
      <c r="FE1404" s="1">
        <v>1160</v>
      </c>
    </row>
    <row r="1405" spans="1:205" x14ac:dyDescent="0.25">
      <c r="A1405" s="327"/>
      <c r="B1405" s="18" t="s">
        <v>2517</v>
      </c>
      <c r="D1405" s="327"/>
      <c r="E1405" s="327"/>
      <c r="F1405" s="327"/>
      <c r="G1405" s="327"/>
      <c r="EM1405" s="1">
        <v>1010</v>
      </c>
    </row>
    <row r="1406" spans="1:205" x14ac:dyDescent="0.25">
      <c r="A1406" s="326"/>
      <c r="B1406" s="18" t="s">
        <v>2518</v>
      </c>
      <c r="D1406" s="326"/>
      <c r="E1406" s="326"/>
      <c r="F1406" s="326"/>
      <c r="G1406" s="326"/>
      <c r="EJ1406" s="1">
        <v>9000</v>
      </c>
    </row>
    <row r="1407" spans="1:205" x14ac:dyDescent="0.25">
      <c r="A1407" s="328" t="s">
        <v>2505</v>
      </c>
      <c r="B1407" s="18" t="s">
        <v>2520</v>
      </c>
      <c r="C1407" s="1">
        <v>-705</v>
      </c>
      <c r="D1407" s="326"/>
      <c r="E1407" s="326"/>
      <c r="F1407" s="326"/>
      <c r="G1407" s="326"/>
      <c r="GW1407" s="1">
        <v>705</v>
      </c>
    </row>
    <row r="1408" spans="1:205" x14ac:dyDescent="0.25">
      <c r="A1408" s="329" t="s">
        <v>2523</v>
      </c>
      <c r="B1408" s="7" t="s">
        <v>2522</v>
      </c>
      <c r="C1408" s="1">
        <v>-215000</v>
      </c>
      <c r="D1408" s="326"/>
      <c r="E1408" s="326">
        <v>215000</v>
      </c>
      <c r="F1408" s="326"/>
      <c r="G1408" s="326"/>
    </row>
    <row r="1409" spans="1:216" x14ac:dyDescent="0.25">
      <c r="A1409" s="330" t="s">
        <v>2523</v>
      </c>
      <c r="B1409" s="7" t="s">
        <v>2524</v>
      </c>
      <c r="C1409" s="1">
        <v>-2300</v>
      </c>
      <c r="D1409" s="330"/>
      <c r="E1409" s="330"/>
      <c r="F1409" s="330"/>
      <c r="G1409" s="330"/>
      <c r="GW1409" s="1">
        <v>2300</v>
      </c>
    </row>
    <row r="1410" spans="1:216" s="4" customFormat="1" x14ac:dyDescent="0.25">
      <c r="A1410" s="333"/>
      <c r="D1410" s="333"/>
      <c r="E1410" s="333"/>
      <c r="F1410" s="333"/>
      <c r="G1410" s="333"/>
      <c r="DS1410" s="12"/>
      <c r="DT1410" s="12"/>
      <c r="DU1410" s="12"/>
    </row>
    <row r="1411" spans="1:216" x14ac:dyDescent="0.25">
      <c r="A1411" s="332" t="s">
        <v>2526</v>
      </c>
      <c r="B1411" s="41" t="s">
        <v>2527</v>
      </c>
      <c r="C1411" s="1">
        <v>-4000</v>
      </c>
      <c r="D1411" s="330"/>
      <c r="E1411" s="330"/>
      <c r="F1411" s="330"/>
      <c r="G1411" s="330"/>
      <c r="CS1411" s="1">
        <v>4000</v>
      </c>
    </row>
    <row r="1412" spans="1:216" x14ac:dyDescent="0.25">
      <c r="A1412" s="334" t="s">
        <v>2528</v>
      </c>
      <c r="B1412" s="41" t="s">
        <v>2529</v>
      </c>
      <c r="C1412" s="1">
        <v>-5000</v>
      </c>
      <c r="D1412" s="330"/>
      <c r="E1412" s="330"/>
      <c r="F1412" s="330"/>
      <c r="G1412" s="330"/>
      <c r="DC1412" s="1">
        <v>5000</v>
      </c>
    </row>
    <row r="1413" spans="1:216" x14ac:dyDescent="0.25">
      <c r="A1413" s="335" t="s">
        <v>2530</v>
      </c>
      <c r="B1413" s="41" t="s">
        <v>2531</v>
      </c>
      <c r="C1413" s="1">
        <v>6000</v>
      </c>
      <c r="D1413" s="330"/>
      <c r="E1413" s="330">
        <v>-6000</v>
      </c>
      <c r="F1413" s="330"/>
      <c r="G1413" s="330"/>
    </row>
    <row r="1414" spans="1:216" x14ac:dyDescent="0.25">
      <c r="A1414" s="335" t="s">
        <v>2530</v>
      </c>
      <c r="B1414" s="41" t="s">
        <v>2532</v>
      </c>
      <c r="C1414" s="1">
        <v>0</v>
      </c>
      <c r="D1414" s="330"/>
      <c r="E1414" s="330"/>
      <c r="F1414" s="330"/>
      <c r="G1414" s="330"/>
    </row>
    <row r="1415" spans="1:216" x14ac:dyDescent="0.25">
      <c r="A1415" s="336" t="s">
        <v>2533</v>
      </c>
      <c r="B1415" s="41" t="s">
        <v>2531</v>
      </c>
      <c r="C1415" s="1">
        <v>20500</v>
      </c>
      <c r="D1415" s="330"/>
      <c r="E1415" s="330">
        <v>-20500</v>
      </c>
      <c r="F1415" s="330"/>
      <c r="G1415" s="330"/>
    </row>
    <row r="1416" spans="1:216" x14ac:dyDescent="0.25">
      <c r="A1416" s="336" t="s">
        <v>2533</v>
      </c>
      <c r="B1416" s="41" t="s">
        <v>2534</v>
      </c>
      <c r="C1416" s="1">
        <v>-20500</v>
      </c>
      <c r="D1416" s="330"/>
      <c r="E1416" s="330"/>
      <c r="F1416" s="330"/>
      <c r="G1416" s="330"/>
      <c r="DC1416" s="1">
        <v>20500</v>
      </c>
    </row>
    <row r="1417" spans="1:216" x14ac:dyDescent="0.25">
      <c r="A1417" s="338" t="s">
        <v>2536</v>
      </c>
      <c r="B1417" s="7" t="s">
        <v>2531</v>
      </c>
      <c r="C1417" s="1">
        <v>182000</v>
      </c>
      <c r="D1417" s="330"/>
      <c r="E1417" s="330">
        <v>-182000</v>
      </c>
      <c r="F1417" s="330"/>
      <c r="G1417" s="330"/>
    </row>
    <row r="1418" spans="1:216" x14ac:dyDescent="0.25">
      <c r="A1418" s="338" t="s">
        <v>2536</v>
      </c>
      <c r="B1418" s="173" t="s">
        <v>1607</v>
      </c>
      <c r="C1418" s="1">
        <v>-20000</v>
      </c>
      <c r="D1418" s="326"/>
      <c r="E1418" s="326"/>
      <c r="F1418" s="326"/>
      <c r="G1418" s="326"/>
      <c r="DO1418" s="1">
        <v>20000</v>
      </c>
    </row>
    <row r="1419" spans="1:216" x14ac:dyDescent="0.25">
      <c r="A1419" s="338" t="s">
        <v>2536</v>
      </c>
      <c r="B1419" s="7" t="s">
        <v>2537</v>
      </c>
      <c r="C1419" s="1">
        <v>-38000</v>
      </c>
      <c r="D1419" s="320"/>
      <c r="E1419" s="320"/>
      <c r="F1419" s="320"/>
      <c r="G1419" s="320"/>
      <c r="DA1419" s="1">
        <v>38000</v>
      </c>
    </row>
    <row r="1420" spans="1:216" x14ac:dyDescent="0.25">
      <c r="A1420" s="338" t="s">
        <v>2536</v>
      </c>
      <c r="B1420" s="173" t="s">
        <v>2538</v>
      </c>
      <c r="C1420" s="1">
        <v>-100000</v>
      </c>
      <c r="D1420" s="338"/>
      <c r="E1420" s="338"/>
      <c r="F1420" s="338"/>
      <c r="G1420" s="338"/>
      <c r="DI1420" s="1">
        <v>100000</v>
      </c>
    </row>
    <row r="1421" spans="1:216" x14ac:dyDescent="0.25">
      <c r="A1421" s="338" t="s">
        <v>2536</v>
      </c>
      <c r="B1421" s="18" t="s">
        <v>2539</v>
      </c>
      <c r="C1421" s="1">
        <v>1000000</v>
      </c>
      <c r="D1421" s="338"/>
      <c r="E1421" s="338"/>
      <c r="F1421" s="338"/>
      <c r="G1421" s="338"/>
      <c r="HH1421" s="1">
        <v>-1000000</v>
      </c>
    </row>
    <row r="1422" spans="1:216" x14ac:dyDescent="0.25">
      <c r="A1422" s="338" t="s">
        <v>2536</v>
      </c>
      <c r="B1422" s="7" t="s">
        <v>2458</v>
      </c>
      <c r="C1422" s="1">
        <v>-500000</v>
      </c>
      <c r="D1422" s="338"/>
      <c r="E1422" s="338"/>
      <c r="F1422" s="338"/>
      <c r="G1422" s="338"/>
      <c r="AS1422" s="1">
        <v>500000</v>
      </c>
    </row>
    <row r="1423" spans="1:216" x14ac:dyDescent="0.25">
      <c r="A1423" s="338" t="s">
        <v>2536</v>
      </c>
      <c r="B1423" s="7" t="s">
        <v>2540</v>
      </c>
      <c r="C1423" s="1">
        <v>-1500</v>
      </c>
      <c r="D1423" s="338"/>
      <c r="E1423" s="338"/>
      <c r="F1423" s="338"/>
      <c r="G1423" s="338"/>
      <c r="CO1423" s="1">
        <v>1500</v>
      </c>
    </row>
    <row r="1424" spans="1:216" x14ac:dyDescent="0.25">
      <c r="A1424" s="338" t="s">
        <v>2536</v>
      </c>
      <c r="B1424" s="41" t="s">
        <v>2541</v>
      </c>
      <c r="C1424" s="1">
        <v>-20000</v>
      </c>
      <c r="D1424" s="338"/>
      <c r="E1424" s="338"/>
      <c r="F1424" s="338"/>
      <c r="G1424" s="338"/>
      <c r="CP1424" s="1">
        <v>20000</v>
      </c>
    </row>
    <row r="1425" spans="1:217" x14ac:dyDescent="0.25">
      <c r="A1425" s="338" t="s">
        <v>2536</v>
      </c>
      <c r="B1425" s="7" t="s">
        <v>2543</v>
      </c>
      <c r="C1425" s="1">
        <v>-255</v>
      </c>
      <c r="D1425" s="338"/>
      <c r="E1425" s="338"/>
      <c r="F1425" s="338"/>
      <c r="G1425" s="338"/>
      <c r="CV1425" s="1">
        <v>255</v>
      </c>
    </row>
    <row r="1426" spans="1:217" x14ac:dyDescent="0.25">
      <c r="A1426" s="338" t="s">
        <v>2536</v>
      </c>
      <c r="B1426" s="7" t="s">
        <v>2544</v>
      </c>
      <c r="C1426" s="1">
        <v>-2000</v>
      </c>
      <c r="D1426" s="338"/>
      <c r="E1426" s="338"/>
      <c r="F1426" s="338"/>
      <c r="G1426" s="338"/>
      <c r="DC1426" s="1">
        <v>2000</v>
      </c>
    </row>
    <row r="1427" spans="1:217" x14ac:dyDescent="0.25">
      <c r="A1427" s="340" t="s">
        <v>2546</v>
      </c>
      <c r="B1427" s="18" t="s">
        <v>2545</v>
      </c>
      <c r="C1427" s="1">
        <v>-100000</v>
      </c>
      <c r="D1427" s="338"/>
      <c r="E1427" s="338"/>
      <c r="F1427" s="338"/>
      <c r="G1427" s="338"/>
      <c r="DD1427" s="1">
        <v>100000</v>
      </c>
    </row>
    <row r="1428" spans="1:217" x14ac:dyDescent="0.25">
      <c r="A1428" s="341" t="s">
        <v>2547</v>
      </c>
      <c r="B1428" s="18" t="s">
        <v>2548</v>
      </c>
      <c r="C1428" s="1">
        <v>-45000</v>
      </c>
      <c r="D1428" s="340"/>
      <c r="E1428" s="340">
        <v>45000</v>
      </c>
      <c r="F1428" s="340"/>
      <c r="G1428" s="340"/>
    </row>
    <row r="1429" spans="1:217" x14ac:dyDescent="0.25">
      <c r="A1429" s="341" t="s">
        <v>2547</v>
      </c>
      <c r="B1429" s="41" t="s">
        <v>2549</v>
      </c>
      <c r="C1429" s="1">
        <v>-2465</v>
      </c>
      <c r="D1429" s="340"/>
      <c r="E1429" s="340"/>
      <c r="F1429" s="340"/>
      <c r="G1429" s="340"/>
      <c r="DC1429" s="1">
        <v>2465</v>
      </c>
    </row>
    <row r="1430" spans="1:217" x14ac:dyDescent="0.25">
      <c r="A1430" s="341" t="s">
        <v>2547</v>
      </c>
      <c r="B1430" s="18" t="s">
        <v>2548</v>
      </c>
      <c r="C1430" s="1">
        <v>-100000</v>
      </c>
      <c r="D1430" s="340"/>
      <c r="E1430" s="340">
        <v>100000</v>
      </c>
      <c r="F1430" s="340"/>
      <c r="G1430" s="340"/>
      <c r="AL1430" s="1">
        <v>-8254</v>
      </c>
      <c r="DC1430" s="1">
        <v>8254</v>
      </c>
    </row>
    <row r="1431" spans="1:217" x14ac:dyDescent="0.25">
      <c r="A1431" s="341" t="s">
        <v>2550</v>
      </c>
      <c r="B1431" s="1" t="s">
        <v>2551</v>
      </c>
      <c r="C1431" s="1">
        <v>-75</v>
      </c>
      <c r="D1431" s="340"/>
      <c r="E1431" s="340"/>
      <c r="F1431" s="340"/>
      <c r="G1431" s="340"/>
      <c r="CO1431" s="1">
        <v>75</v>
      </c>
    </row>
    <row r="1432" spans="1:217" x14ac:dyDescent="0.25">
      <c r="A1432" s="341" t="s">
        <v>2552</v>
      </c>
      <c r="B1432" s="18" t="s">
        <v>2548</v>
      </c>
      <c r="C1432" s="1">
        <v>-200000</v>
      </c>
      <c r="D1432" s="340"/>
      <c r="E1432" s="340">
        <v>200000</v>
      </c>
      <c r="F1432" s="340"/>
      <c r="G1432" s="340"/>
    </row>
    <row r="1433" spans="1:217" x14ac:dyDescent="0.25">
      <c r="A1433" s="341" t="s">
        <v>2559</v>
      </c>
      <c r="B1433" s="18" t="s">
        <v>2553</v>
      </c>
      <c r="C1433" s="1">
        <v>-500</v>
      </c>
      <c r="D1433" s="340"/>
      <c r="E1433" s="340"/>
      <c r="F1433" s="340"/>
      <c r="G1433" s="340"/>
      <c r="CX1433" s="1">
        <v>500</v>
      </c>
    </row>
    <row r="1434" spans="1:217" x14ac:dyDescent="0.25">
      <c r="A1434" s="342" t="s">
        <v>2559</v>
      </c>
      <c r="B1434" s="18" t="s">
        <v>2554</v>
      </c>
      <c r="C1434" s="1">
        <v>-200</v>
      </c>
      <c r="D1434" s="341"/>
      <c r="E1434" s="341"/>
      <c r="F1434" s="341"/>
      <c r="G1434" s="341"/>
      <c r="CS1434" s="1">
        <v>200</v>
      </c>
    </row>
    <row r="1435" spans="1:217" x14ac:dyDescent="0.25">
      <c r="A1435" s="342" t="s">
        <v>2559</v>
      </c>
      <c r="B1435" s="18" t="s">
        <v>2555</v>
      </c>
      <c r="C1435" s="1">
        <v>-235</v>
      </c>
      <c r="D1435" s="341"/>
      <c r="E1435" s="341"/>
      <c r="F1435" s="341"/>
      <c r="G1435" s="341"/>
      <c r="CV1435" s="1">
        <v>235</v>
      </c>
    </row>
    <row r="1436" spans="1:217" x14ac:dyDescent="0.25">
      <c r="A1436" s="342" t="s">
        <v>2559</v>
      </c>
      <c r="B1436" s="18" t="s">
        <v>2556</v>
      </c>
      <c r="C1436" s="1">
        <v>-340</v>
      </c>
      <c r="D1436" s="341"/>
      <c r="E1436" s="341"/>
      <c r="F1436" s="341"/>
      <c r="G1436" s="341"/>
      <c r="CW1436" s="1">
        <v>340</v>
      </c>
    </row>
    <row r="1437" spans="1:217" x14ac:dyDescent="0.25">
      <c r="A1437" s="342" t="s">
        <v>2559</v>
      </c>
      <c r="B1437" s="18" t="s">
        <v>2557</v>
      </c>
      <c r="C1437" s="1">
        <v>-50000</v>
      </c>
      <c r="D1437" s="341"/>
      <c r="E1437" s="341"/>
      <c r="F1437" s="341"/>
      <c r="G1437" s="341"/>
      <c r="HI1437" s="1">
        <v>50000</v>
      </c>
    </row>
    <row r="1438" spans="1:217" x14ac:dyDescent="0.25">
      <c r="A1438" s="343" t="s">
        <v>2560</v>
      </c>
      <c r="B1438" s="1" t="s">
        <v>2561</v>
      </c>
      <c r="C1438" s="1">
        <v>10000</v>
      </c>
      <c r="D1438" s="343"/>
      <c r="E1438" s="343">
        <v>-10000</v>
      </c>
      <c r="F1438" s="343"/>
      <c r="G1438" s="343"/>
    </row>
    <row r="1439" spans="1:217" x14ac:dyDescent="0.25">
      <c r="A1439" s="341"/>
      <c r="B1439" s="1"/>
      <c r="D1439" s="341"/>
      <c r="E1439" s="341"/>
      <c r="F1439" s="341"/>
      <c r="G1439" s="341"/>
    </row>
    <row r="1440" spans="1:217" x14ac:dyDescent="0.25">
      <c r="A1440" s="344"/>
      <c r="B1440" s="1"/>
      <c r="D1440" s="344"/>
      <c r="E1440" s="344"/>
      <c r="F1440" s="344"/>
      <c r="G1440" s="344"/>
    </row>
    <row r="1441" spans="1:102" x14ac:dyDescent="0.25">
      <c r="A1441" s="344" t="s">
        <v>2564</v>
      </c>
      <c r="B1441" s="41" t="s">
        <v>2563</v>
      </c>
      <c r="C1441" s="1">
        <v>20000</v>
      </c>
      <c r="D1441" s="344"/>
      <c r="E1441" s="344">
        <v>-20000</v>
      </c>
      <c r="F1441" s="344"/>
      <c r="G1441" s="344"/>
    </row>
    <row r="1442" spans="1:102" x14ac:dyDescent="0.25">
      <c r="A1442" s="344" t="s">
        <v>2564</v>
      </c>
      <c r="B1442" s="41" t="s">
        <v>2562</v>
      </c>
      <c r="C1442" s="1">
        <v>-4000</v>
      </c>
      <c r="D1442" s="344"/>
      <c r="E1442" s="344"/>
      <c r="F1442" s="344"/>
      <c r="G1442" s="344"/>
      <c r="CS1442" s="1">
        <v>4000</v>
      </c>
    </row>
    <row r="1443" spans="1:102" x14ac:dyDescent="0.25">
      <c r="A1443" s="345" t="s">
        <v>2565</v>
      </c>
      <c r="B1443" s="1" t="s">
        <v>2561</v>
      </c>
      <c r="C1443" s="4">
        <v>11000</v>
      </c>
      <c r="D1443" s="345"/>
      <c r="E1443" s="345">
        <v>-11000</v>
      </c>
      <c r="F1443" s="345"/>
      <c r="G1443" s="345"/>
    </row>
    <row r="1444" spans="1:102" x14ac:dyDescent="0.25">
      <c r="A1444" s="345" t="s">
        <v>2565</v>
      </c>
      <c r="B1444" s="41" t="s">
        <v>2566</v>
      </c>
      <c r="C1444" s="1">
        <v>-26000</v>
      </c>
      <c r="D1444" s="344"/>
      <c r="E1444" s="344"/>
      <c r="F1444" s="344"/>
      <c r="G1444" s="344"/>
      <c r="CQ1444" s="1">
        <v>26000</v>
      </c>
    </row>
    <row r="1445" spans="1:102" x14ac:dyDescent="0.25">
      <c r="A1445" s="347" t="s">
        <v>2567</v>
      </c>
      <c r="B1445" s="41" t="s">
        <v>2568</v>
      </c>
      <c r="C1445" s="1">
        <v>-475</v>
      </c>
      <c r="D1445" s="344"/>
      <c r="E1445" s="344"/>
      <c r="F1445" s="344"/>
      <c r="G1445" s="344"/>
      <c r="CO1445" s="1">
        <v>475</v>
      </c>
    </row>
    <row r="1446" spans="1:102" x14ac:dyDescent="0.25">
      <c r="A1446" s="347" t="s">
        <v>2567</v>
      </c>
      <c r="B1446" s="41" t="s">
        <v>2336</v>
      </c>
      <c r="C1446" s="1">
        <v>-140</v>
      </c>
      <c r="D1446" s="344"/>
      <c r="E1446" s="344"/>
      <c r="F1446" s="344"/>
      <c r="G1446" s="344"/>
      <c r="CX1446" s="1">
        <v>140</v>
      </c>
    </row>
    <row r="1447" spans="1:102" x14ac:dyDescent="0.25">
      <c r="A1447" s="347" t="s">
        <v>2567</v>
      </c>
      <c r="B1447" s="41" t="s">
        <v>2569</v>
      </c>
      <c r="C1447" s="1">
        <v>-350</v>
      </c>
      <c r="D1447" s="344"/>
      <c r="E1447" s="344"/>
      <c r="F1447" s="344"/>
      <c r="G1447" s="344"/>
      <c r="CQ1447" s="1">
        <v>350</v>
      </c>
    </row>
    <row r="1448" spans="1:102" x14ac:dyDescent="0.25">
      <c r="A1448" s="349" t="s">
        <v>2570</v>
      </c>
      <c r="B1448" s="41" t="s">
        <v>2571</v>
      </c>
      <c r="C1448" s="1">
        <v>-900</v>
      </c>
      <c r="D1448" s="349"/>
      <c r="E1448" s="349"/>
      <c r="F1448" s="349"/>
      <c r="G1448" s="349"/>
      <c r="CO1448" s="1">
        <v>900</v>
      </c>
    </row>
    <row r="1449" spans="1:102" x14ac:dyDescent="0.25">
      <c r="A1449" s="349" t="s">
        <v>2570</v>
      </c>
      <c r="B1449" s="41" t="s">
        <v>2572</v>
      </c>
      <c r="C1449" s="1">
        <v>-800</v>
      </c>
      <c r="D1449" s="349"/>
      <c r="E1449" s="349"/>
      <c r="F1449" s="349"/>
      <c r="G1449" s="349"/>
      <c r="CO1449" s="1">
        <v>800</v>
      </c>
    </row>
    <row r="1450" spans="1:102" x14ac:dyDescent="0.25">
      <c r="A1450" s="349" t="s">
        <v>2570</v>
      </c>
      <c r="B1450" s="41" t="s">
        <v>2573</v>
      </c>
      <c r="C1450" s="1">
        <v>-1800</v>
      </c>
      <c r="D1450" s="349"/>
      <c r="E1450" s="349"/>
      <c r="F1450" s="349"/>
      <c r="G1450" s="349"/>
      <c r="CX1450" s="1">
        <v>1800</v>
      </c>
    </row>
    <row r="1451" spans="1:102" x14ac:dyDescent="0.25">
      <c r="A1451" s="349" t="s">
        <v>2570</v>
      </c>
      <c r="B1451" s="41" t="s">
        <v>2574</v>
      </c>
      <c r="C1451" s="1">
        <v>-100</v>
      </c>
      <c r="D1451" s="349"/>
      <c r="E1451" s="349"/>
      <c r="F1451" s="349"/>
      <c r="G1451" s="349"/>
      <c r="CS1451" s="1">
        <v>100</v>
      </c>
    </row>
    <row r="1452" spans="1:102" x14ac:dyDescent="0.25">
      <c r="A1452" s="349" t="s">
        <v>2570</v>
      </c>
      <c r="B1452" s="41" t="s">
        <v>2575</v>
      </c>
      <c r="C1452" s="1">
        <v>-200</v>
      </c>
      <c r="D1452" s="349"/>
      <c r="E1452" s="349"/>
      <c r="F1452" s="349"/>
      <c r="G1452" s="349"/>
      <c r="CV1452" s="1">
        <v>200</v>
      </c>
    </row>
    <row r="1453" spans="1:102" x14ac:dyDescent="0.25">
      <c r="A1453" s="349" t="s">
        <v>2570</v>
      </c>
      <c r="B1453" s="41" t="s">
        <v>2576</v>
      </c>
      <c r="C1453" s="1">
        <v>-4955</v>
      </c>
      <c r="D1453" s="349"/>
      <c r="E1453" s="349"/>
      <c r="F1453" s="349"/>
      <c r="G1453" s="349"/>
      <c r="CQ1453" s="1">
        <v>4955</v>
      </c>
    </row>
    <row r="1454" spans="1:102" x14ac:dyDescent="0.25">
      <c r="A1454" s="350" t="s">
        <v>2577</v>
      </c>
      <c r="B1454" s="41" t="s">
        <v>2578</v>
      </c>
      <c r="C1454" s="1">
        <v>-500</v>
      </c>
      <c r="D1454" s="349"/>
      <c r="E1454" s="349"/>
      <c r="F1454" s="349"/>
      <c r="G1454" s="349"/>
      <c r="CQ1454" s="1">
        <v>500</v>
      </c>
    </row>
    <row r="1455" spans="1:102" x14ac:dyDescent="0.25">
      <c r="A1455" s="350" t="s">
        <v>2577</v>
      </c>
      <c r="B1455" s="41" t="s">
        <v>2579</v>
      </c>
      <c r="C1455" s="1">
        <v>-80</v>
      </c>
      <c r="D1455" s="350"/>
      <c r="E1455" s="350"/>
      <c r="F1455" s="350"/>
      <c r="G1455" s="350"/>
      <c r="CO1455" s="1">
        <v>80</v>
      </c>
    </row>
    <row r="1456" spans="1:102" x14ac:dyDescent="0.25">
      <c r="A1456" s="351" t="s">
        <v>2580</v>
      </c>
      <c r="B1456" s="41" t="s">
        <v>2583</v>
      </c>
      <c r="C1456" s="1">
        <v>100000</v>
      </c>
      <c r="D1456" s="349"/>
      <c r="E1456" s="349">
        <v>-100000</v>
      </c>
      <c r="F1456" s="349"/>
      <c r="G1456" s="349"/>
    </row>
    <row r="1457" spans="1:112" x14ac:dyDescent="0.25">
      <c r="A1457" s="351" t="s">
        <v>2580</v>
      </c>
      <c r="B1457" s="18" t="s">
        <v>2584</v>
      </c>
      <c r="C1457" s="1">
        <v>-100000</v>
      </c>
      <c r="D1457" s="349"/>
      <c r="E1457" s="349"/>
      <c r="F1457" s="349"/>
      <c r="G1457" s="349"/>
      <c r="DD1457" s="1">
        <v>100000</v>
      </c>
    </row>
    <row r="1458" spans="1:112" x14ac:dyDescent="0.25">
      <c r="A1458" s="354" t="s">
        <v>2585</v>
      </c>
      <c r="B1458" s="41" t="s">
        <v>2583</v>
      </c>
      <c r="C1458" s="1">
        <v>8000</v>
      </c>
      <c r="D1458" s="349"/>
      <c r="E1458" s="349">
        <v>-8000</v>
      </c>
      <c r="F1458" s="349"/>
      <c r="G1458" s="349"/>
    </row>
    <row r="1459" spans="1:112" x14ac:dyDescent="0.25">
      <c r="A1459" s="354" t="s">
        <v>2585</v>
      </c>
      <c r="B1459" s="41" t="s">
        <v>2586</v>
      </c>
      <c r="C1459" s="1">
        <v>-8000</v>
      </c>
      <c r="D1459" s="354"/>
      <c r="E1459" s="354"/>
      <c r="F1459" s="354"/>
      <c r="G1459" s="354"/>
      <c r="DH1459" s="1">
        <v>8000</v>
      </c>
    </row>
    <row r="1460" spans="1:112" x14ac:dyDescent="0.25">
      <c r="A1460" s="354" t="s">
        <v>2585</v>
      </c>
      <c r="B1460" s="41" t="s">
        <v>2588</v>
      </c>
      <c r="C1460" s="1">
        <v>-120</v>
      </c>
      <c r="D1460" s="354"/>
      <c r="E1460" s="354"/>
      <c r="F1460" s="354"/>
      <c r="G1460" s="354"/>
      <c r="CX1460" s="1">
        <v>120</v>
      </c>
    </row>
    <row r="1461" spans="1:112" x14ac:dyDescent="0.25">
      <c r="A1461" s="356" t="s">
        <v>2590</v>
      </c>
      <c r="B1461" s="41" t="s">
        <v>2583</v>
      </c>
      <c r="C1461" s="1">
        <v>48000</v>
      </c>
      <c r="D1461" s="354"/>
      <c r="E1461" s="354">
        <v>-48000</v>
      </c>
      <c r="F1461" s="354"/>
      <c r="G1461" s="354"/>
    </row>
    <row r="1462" spans="1:112" x14ac:dyDescent="0.25">
      <c r="A1462" s="357" t="s">
        <v>2590</v>
      </c>
      <c r="B1462" s="7" t="s">
        <v>2591</v>
      </c>
      <c r="C1462" s="1">
        <v>-38000</v>
      </c>
      <c r="D1462" s="354"/>
      <c r="E1462" s="354"/>
      <c r="F1462" s="354"/>
      <c r="G1462" s="354"/>
      <c r="DA1462" s="1">
        <v>38000</v>
      </c>
    </row>
    <row r="1463" spans="1:112" x14ac:dyDescent="0.25">
      <c r="A1463" s="357" t="s">
        <v>2590</v>
      </c>
      <c r="B1463" s="41" t="s">
        <v>2592</v>
      </c>
      <c r="C1463" s="1">
        <v>-7000</v>
      </c>
      <c r="D1463" s="354"/>
      <c r="E1463" s="354"/>
      <c r="F1463" s="354"/>
      <c r="G1463" s="354"/>
      <c r="CV1463" s="1">
        <v>7000</v>
      </c>
    </row>
    <row r="1464" spans="1:112" x14ac:dyDescent="0.25">
      <c r="A1464" s="359" t="s">
        <v>2590</v>
      </c>
      <c r="B1464" s="41" t="s">
        <v>2593</v>
      </c>
      <c r="C1464" s="1">
        <v>-2000</v>
      </c>
      <c r="D1464" s="354"/>
      <c r="E1464" s="354"/>
      <c r="F1464" s="354"/>
      <c r="G1464" s="354"/>
      <c r="CV1464" s="1">
        <v>2000</v>
      </c>
    </row>
    <row r="1465" spans="1:112" x14ac:dyDescent="0.25">
      <c r="A1465" s="359" t="s">
        <v>2590</v>
      </c>
      <c r="B1465" s="41" t="s">
        <v>2594</v>
      </c>
      <c r="C1465" s="1">
        <v>-770</v>
      </c>
      <c r="D1465" s="359"/>
      <c r="E1465" s="359"/>
      <c r="F1465" s="359"/>
      <c r="G1465" s="359"/>
      <c r="CU1465" s="1">
        <v>770</v>
      </c>
    </row>
    <row r="1466" spans="1:112" x14ac:dyDescent="0.25">
      <c r="A1466" s="359" t="s">
        <v>2590</v>
      </c>
      <c r="B1466" s="41" t="s">
        <v>2595</v>
      </c>
      <c r="C1466" s="1">
        <v>-200</v>
      </c>
      <c r="D1466" s="359"/>
      <c r="E1466" s="359"/>
      <c r="F1466" s="359"/>
      <c r="G1466" s="359"/>
      <c r="CO1466" s="1">
        <v>200</v>
      </c>
    </row>
    <row r="1467" spans="1:112" x14ac:dyDescent="0.25">
      <c r="A1467" s="359" t="s">
        <v>2590</v>
      </c>
      <c r="B1467" s="41" t="s">
        <v>2596</v>
      </c>
      <c r="C1467" s="1">
        <v>-220</v>
      </c>
      <c r="D1467" s="359"/>
      <c r="E1467" s="359"/>
      <c r="F1467" s="359"/>
      <c r="G1467" s="359"/>
      <c r="CX1467" s="1">
        <v>220</v>
      </c>
    </row>
    <row r="1468" spans="1:112" x14ac:dyDescent="0.25">
      <c r="A1468" s="359" t="s">
        <v>2598</v>
      </c>
      <c r="B1468" s="41" t="s">
        <v>2599</v>
      </c>
      <c r="C1468" s="1">
        <v>-500</v>
      </c>
      <c r="D1468" s="359"/>
      <c r="E1468" s="359"/>
      <c r="F1468" s="359"/>
      <c r="G1468" s="359"/>
    </row>
    <row r="1469" spans="1:112" x14ac:dyDescent="0.25">
      <c r="A1469" s="362" t="s">
        <v>2602</v>
      </c>
      <c r="B1469" s="41" t="s">
        <v>2561</v>
      </c>
      <c r="C1469" s="1">
        <v>18500</v>
      </c>
      <c r="D1469" s="354"/>
      <c r="E1469" s="354">
        <v>-18500</v>
      </c>
      <c r="F1469" s="354"/>
      <c r="G1469" s="354"/>
    </row>
    <row r="1470" spans="1:112" x14ac:dyDescent="0.25">
      <c r="A1470" s="362" t="s">
        <v>2602</v>
      </c>
      <c r="B1470" s="1" t="s">
        <v>2603</v>
      </c>
      <c r="C1470" s="1">
        <v>-18500</v>
      </c>
      <c r="D1470" s="354"/>
      <c r="E1470" s="354"/>
      <c r="F1470" s="354"/>
      <c r="G1470" s="354"/>
      <c r="DC1470" s="1">
        <v>18500</v>
      </c>
    </row>
    <row r="1471" spans="1:112" x14ac:dyDescent="0.25">
      <c r="A1471" s="363" t="s">
        <v>2604</v>
      </c>
      <c r="B1471" s="41" t="s">
        <v>2605</v>
      </c>
      <c r="C1471" s="1">
        <v>-789</v>
      </c>
      <c r="D1471" s="354"/>
      <c r="E1471" s="354"/>
      <c r="F1471" s="354"/>
      <c r="G1471" s="354"/>
      <c r="DC1471" s="1">
        <v>789</v>
      </c>
    </row>
    <row r="1472" spans="1:112" x14ac:dyDescent="0.25">
      <c r="A1472" s="364" t="s">
        <v>2606</v>
      </c>
      <c r="B1472" s="41" t="s">
        <v>2561</v>
      </c>
      <c r="C1472" s="1">
        <v>20500</v>
      </c>
      <c r="D1472" s="354"/>
      <c r="E1472" s="354">
        <v>-20500</v>
      </c>
      <c r="F1472" s="354"/>
      <c r="G1472" s="354"/>
    </row>
    <row r="1473" spans="1:189" x14ac:dyDescent="0.25">
      <c r="A1473" s="364" t="s">
        <v>2606</v>
      </c>
      <c r="B1473" s="41" t="s">
        <v>2607</v>
      </c>
      <c r="C1473" s="1">
        <v>-16500</v>
      </c>
      <c r="D1473" s="364"/>
      <c r="E1473" s="364"/>
      <c r="F1473" s="364"/>
      <c r="G1473" s="364"/>
      <c r="CT1473" s="1">
        <v>16500</v>
      </c>
    </row>
    <row r="1474" spans="1:189" x14ac:dyDescent="0.25">
      <c r="A1474" s="366" t="s">
        <v>2606</v>
      </c>
      <c r="B1474" s="41" t="s">
        <v>2609</v>
      </c>
      <c r="C1474" s="1">
        <v>-4224</v>
      </c>
      <c r="D1474" s="366"/>
      <c r="E1474" s="366"/>
      <c r="F1474" s="366"/>
      <c r="G1474" s="366"/>
      <c r="GG1474" s="1">
        <v>4224</v>
      </c>
    </row>
    <row r="1475" spans="1:189" x14ac:dyDescent="0.25">
      <c r="A1475" s="368" t="s">
        <v>2610</v>
      </c>
      <c r="B1475" s="41" t="s">
        <v>2561</v>
      </c>
      <c r="C1475" s="1">
        <v>212000</v>
      </c>
      <c r="D1475" s="366"/>
      <c r="E1475" s="366">
        <v>-212000</v>
      </c>
      <c r="F1475" s="366"/>
      <c r="G1475" s="366"/>
    </row>
    <row r="1476" spans="1:189" x14ac:dyDescent="0.25">
      <c r="A1476" s="368" t="s">
        <v>2610</v>
      </c>
      <c r="B1476" s="4" t="s">
        <v>2611</v>
      </c>
      <c r="C1476" s="1">
        <v>-200000</v>
      </c>
      <c r="D1476" s="366"/>
      <c r="E1476" s="366"/>
      <c r="F1476" s="366"/>
      <c r="G1476" s="366"/>
      <c r="AI1476" s="1">
        <v>0</v>
      </c>
      <c r="BM1476" s="1">
        <v>200000</v>
      </c>
    </row>
    <row r="1477" spans="1:189" x14ac:dyDescent="0.25">
      <c r="A1477" s="368" t="s">
        <v>2610</v>
      </c>
      <c r="B1477" s="41" t="s">
        <v>2612</v>
      </c>
      <c r="C1477" s="1">
        <v>-7096.77419354839</v>
      </c>
      <c r="D1477" s="366"/>
      <c r="E1477" s="366"/>
      <c r="F1477" s="366"/>
      <c r="G1477" s="366"/>
      <c r="DC1477" s="1">
        <v>7097</v>
      </c>
    </row>
    <row r="1478" spans="1:189" x14ac:dyDescent="0.25">
      <c r="A1478" s="368" t="s">
        <v>2610</v>
      </c>
      <c r="B1478" s="41" t="s">
        <v>2614</v>
      </c>
      <c r="C1478" s="1">
        <v>-5000</v>
      </c>
      <c r="D1478" s="364"/>
      <c r="E1478" s="364"/>
      <c r="F1478" s="364"/>
      <c r="G1478" s="364"/>
      <c r="CV1478" s="1">
        <v>5000</v>
      </c>
    </row>
    <row r="1479" spans="1:189" x14ac:dyDescent="0.25">
      <c r="A1479" s="369" t="s">
        <v>2613</v>
      </c>
      <c r="B1479" s="41" t="s">
        <v>2615</v>
      </c>
      <c r="C1479" s="1">
        <v>-110</v>
      </c>
      <c r="D1479" s="369"/>
      <c r="E1479" s="369"/>
      <c r="F1479" s="369"/>
      <c r="G1479" s="369"/>
    </row>
    <row r="1480" spans="1:189" x14ac:dyDescent="0.25">
      <c r="A1480" s="369" t="s">
        <v>2613</v>
      </c>
      <c r="B1480" s="41" t="s">
        <v>2616</v>
      </c>
      <c r="C1480" s="1">
        <v>-300</v>
      </c>
      <c r="D1480" s="369"/>
      <c r="E1480" s="369"/>
      <c r="F1480" s="369"/>
      <c r="G1480" s="369"/>
      <c r="CO1480" s="1">
        <v>300</v>
      </c>
    </row>
    <row r="1481" spans="1:189" x14ac:dyDescent="0.25">
      <c r="A1481" s="369" t="s">
        <v>2613</v>
      </c>
      <c r="B1481" s="41" t="s">
        <v>2617</v>
      </c>
      <c r="C1481" s="1">
        <v>-200</v>
      </c>
      <c r="D1481" s="369"/>
      <c r="E1481" s="369"/>
      <c r="F1481" s="369"/>
      <c r="G1481" s="369"/>
      <c r="CS1481" s="1">
        <v>200</v>
      </c>
    </row>
    <row r="1482" spans="1:189" x14ac:dyDescent="0.25">
      <c r="A1482" s="369" t="s">
        <v>2613</v>
      </c>
      <c r="B1482" s="18" t="s">
        <v>2619</v>
      </c>
      <c r="C1482" s="1">
        <v>300000</v>
      </c>
      <c r="D1482" s="369"/>
      <c r="E1482" s="369"/>
      <c r="F1482" s="369"/>
      <c r="G1482" s="369"/>
    </row>
    <row r="1483" spans="1:189" x14ac:dyDescent="0.25">
      <c r="A1483" s="369" t="s">
        <v>2613</v>
      </c>
      <c r="B1483" s="173" t="s">
        <v>2618</v>
      </c>
      <c r="C1483" s="1">
        <v>-100000</v>
      </c>
      <c r="D1483" s="369"/>
      <c r="E1483" s="369"/>
      <c r="F1483" s="369"/>
      <c r="G1483" s="369"/>
    </row>
    <row r="1484" spans="1:189" x14ac:dyDescent="0.25">
      <c r="A1484" s="369" t="s">
        <v>2613</v>
      </c>
      <c r="B1484" s="173" t="s">
        <v>2620</v>
      </c>
      <c r="C1484" s="1">
        <v>-96500</v>
      </c>
      <c r="D1484" s="369"/>
      <c r="E1484" s="369">
        <v>96500</v>
      </c>
      <c r="F1484" s="369"/>
      <c r="G1484" s="369"/>
    </row>
    <row r="1485" spans="1:189" x14ac:dyDescent="0.25">
      <c r="A1485" s="369"/>
      <c r="B1485" s="173"/>
      <c r="D1485" s="369"/>
      <c r="E1485" s="369"/>
      <c r="F1485" s="369"/>
      <c r="G1485" s="369"/>
    </row>
    <row r="1486" spans="1:189" x14ac:dyDescent="0.25">
      <c r="A1486" s="369"/>
      <c r="B1486" s="173"/>
      <c r="D1486" s="369"/>
      <c r="E1486" s="369"/>
      <c r="F1486" s="369"/>
      <c r="G1486" s="369"/>
    </row>
    <row r="1487" spans="1:189" x14ac:dyDescent="0.25">
      <c r="A1487" s="369"/>
      <c r="B1487" s="173"/>
      <c r="D1487" s="369"/>
      <c r="E1487" s="369"/>
      <c r="F1487" s="369"/>
      <c r="G1487" s="369"/>
    </row>
    <row r="1488" spans="1:189" x14ac:dyDescent="0.25">
      <c r="A1488" s="369"/>
      <c r="B1488" s="173"/>
      <c r="D1488" s="369"/>
      <c r="E1488" s="369"/>
      <c r="F1488" s="369"/>
      <c r="G1488" s="369"/>
    </row>
    <row r="1489" spans="1:217" x14ac:dyDescent="0.25">
      <c r="A1489" s="338"/>
      <c r="B1489" s="7"/>
      <c r="D1489" s="338"/>
      <c r="E1489" s="338"/>
      <c r="F1489" s="338"/>
      <c r="G1489" s="338"/>
      <c r="CQ1489" s="1">
        <f>SUM(CQ1327:CQ1453)</f>
        <v>31305</v>
      </c>
    </row>
    <row r="1491" spans="1:217" x14ac:dyDescent="0.25">
      <c r="B1491" s="85" t="s">
        <v>2621</v>
      </c>
      <c r="C1491" s="1">
        <f>SUM(C1329:C1490)</f>
        <v>108739.22580645164</v>
      </c>
      <c r="D1491" s="1">
        <f>SUM(D1329:D1490)</f>
        <v>0</v>
      </c>
      <c r="E1491" s="1">
        <f>SUM(E1327:E1490)</f>
        <v>0</v>
      </c>
      <c r="F1491" s="1">
        <f t="shared" ref="F1491:AJ1491" si="64">SUM(F1329:F1490)</f>
        <v>0</v>
      </c>
      <c r="G1491" s="1">
        <f t="shared" si="64"/>
        <v>0</v>
      </c>
      <c r="H1491" s="1">
        <f t="shared" si="64"/>
        <v>-500000</v>
      </c>
      <c r="I1491" s="1">
        <f t="shared" si="64"/>
        <v>0</v>
      </c>
      <c r="J1491" s="1">
        <f t="shared" si="64"/>
        <v>0</v>
      </c>
      <c r="K1491" s="1">
        <f t="shared" si="64"/>
        <v>0</v>
      </c>
      <c r="L1491" s="1">
        <f t="shared" si="64"/>
        <v>0</v>
      </c>
      <c r="M1491" s="1">
        <f t="shared" si="64"/>
        <v>0</v>
      </c>
      <c r="N1491" s="1">
        <f t="shared" si="64"/>
        <v>0</v>
      </c>
      <c r="O1491" s="1">
        <f t="shared" si="64"/>
        <v>0</v>
      </c>
      <c r="P1491" s="1">
        <f t="shared" si="64"/>
        <v>0</v>
      </c>
      <c r="Q1491" s="1">
        <f t="shared" si="64"/>
        <v>0</v>
      </c>
      <c r="R1491" s="1">
        <f t="shared" si="64"/>
        <v>0</v>
      </c>
      <c r="S1491" s="1">
        <f t="shared" si="64"/>
        <v>0</v>
      </c>
      <c r="T1491" s="1">
        <f t="shared" si="64"/>
        <v>0</v>
      </c>
      <c r="U1491" s="1">
        <f t="shared" si="64"/>
        <v>0</v>
      </c>
      <c r="V1491" s="1">
        <f t="shared" si="64"/>
        <v>0</v>
      </c>
      <c r="W1491" s="1">
        <f t="shared" si="64"/>
        <v>0</v>
      </c>
      <c r="X1491" s="1">
        <f t="shared" si="64"/>
        <v>0</v>
      </c>
      <c r="Y1491" s="1">
        <f t="shared" si="64"/>
        <v>0</v>
      </c>
      <c r="Z1491" s="1">
        <f t="shared" si="64"/>
        <v>0</v>
      </c>
      <c r="AA1491" s="1">
        <f t="shared" si="64"/>
        <v>0</v>
      </c>
      <c r="AB1491" s="1">
        <f t="shared" si="64"/>
        <v>0</v>
      </c>
      <c r="AC1491" s="1">
        <f t="shared" si="64"/>
        <v>0</v>
      </c>
      <c r="AD1491" s="1">
        <f t="shared" si="64"/>
        <v>0</v>
      </c>
      <c r="AE1491" s="1">
        <f t="shared" si="64"/>
        <v>0</v>
      </c>
      <c r="AF1491" s="1">
        <f t="shared" si="64"/>
        <v>0</v>
      </c>
      <c r="AG1491" s="1">
        <f t="shared" si="64"/>
        <v>25000</v>
      </c>
      <c r="AH1491" s="1">
        <f t="shared" si="64"/>
        <v>0</v>
      </c>
      <c r="AI1491" s="1">
        <f t="shared" si="64"/>
        <v>15000</v>
      </c>
      <c r="AJ1491" s="1">
        <f t="shared" si="64"/>
        <v>0</v>
      </c>
      <c r="AK1491" s="1">
        <f>SUM(AK1327:AK1490)</f>
        <v>37500</v>
      </c>
      <c r="AL1491" s="1">
        <f>SUM(AL1327:AL1490)</f>
        <v>0</v>
      </c>
      <c r="BM1491" s="1">
        <f>SUM(BM1329:BM1490)</f>
        <v>200000</v>
      </c>
      <c r="CP1491" s="1">
        <f>SUM(CP1329:CP1490)</f>
        <v>20000</v>
      </c>
      <c r="CQ1491" s="1">
        <f>SUM(CQ1329:CQ1490)</f>
        <v>63110</v>
      </c>
      <c r="CT1491" s="1">
        <f t="shared" ref="CT1491:CW1491" si="65">SUM(CT1329:CT1490)</f>
        <v>16500</v>
      </c>
      <c r="CU1491" s="1">
        <f t="shared" si="65"/>
        <v>770</v>
      </c>
      <c r="CV1491" s="1">
        <f t="shared" si="65"/>
        <v>14690</v>
      </c>
      <c r="CW1491" s="1">
        <f t="shared" si="65"/>
        <v>340</v>
      </c>
      <c r="DC1491" s="1">
        <f>SUM(DC1329:DC1490)</f>
        <v>95655</v>
      </c>
      <c r="DD1491" s="1">
        <f>SUM(DD1329:DD1490)</f>
        <v>400000</v>
      </c>
      <c r="DO1491" s="1">
        <f>SUM(DO1329:DO1490)</f>
        <v>55000</v>
      </c>
      <c r="FE1491" s="1">
        <v>2200</v>
      </c>
      <c r="GG1491" s="1">
        <f>SUM(GG1329:GG1490)</f>
        <v>4224</v>
      </c>
      <c r="HH1491" s="1">
        <f>SUM(HH1327:HH1490)</f>
        <v>-3500000</v>
      </c>
      <c r="HI1491" s="1">
        <f>SUM(HI1329:HI1490)</f>
        <v>50000</v>
      </c>
    </row>
    <row r="1493" spans="1:217" x14ac:dyDescent="0.25">
      <c r="A1493" s="294"/>
      <c r="C1493" s="1">
        <v>100000</v>
      </c>
      <c r="D1493" s="294"/>
      <c r="E1493" s="294"/>
      <c r="F1493" s="294"/>
      <c r="G1493" s="294"/>
      <c r="AT1493" s="1">
        <v>896100</v>
      </c>
      <c r="GW1493" s="1">
        <v>115000</v>
      </c>
    </row>
    <row r="1494" spans="1:217" x14ac:dyDescent="0.25">
      <c r="C1494" s="1">
        <f>C1491-C1493</f>
        <v>8739.2258064516354</v>
      </c>
      <c r="GW1494" s="1">
        <f>C1492+C1493-GW1493</f>
        <v>-15000</v>
      </c>
    </row>
    <row r="1496" spans="1:217" x14ac:dyDescent="0.25">
      <c r="C1496" s="1">
        <v>0</v>
      </c>
    </row>
  </sheetData>
  <mergeCells count="101">
    <mergeCell ref="GJ1:HT1"/>
    <mergeCell ref="GD1:GF1"/>
    <mergeCell ref="CE941:CN941"/>
    <mergeCell ref="CO941:DI941"/>
    <mergeCell ref="DP941:FX941"/>
    <mergeCell ref="I941:Y941"/>
    <mergeCell ref="Z941:BH941"/>
    <mergeCell ref="BI941:BM941"/>
    <mergeCell ref="BN941:BP941"/>
    <mergeCell ref="BQ941:CD941"/>
    <mergeCell ref="CE810:CN810"/>
    <mergeCell ref="CO810:DI810"/>
    <mergeCell ref="DP810:FX810"/>
    <mergeCell ref="I810:Y810"/>
    <mergeCell ref="Z810:BH810"/>
    <mergeCell ref="BI810:BM810"/>
    <mergeCell ref="BN810:BP810"/>
    <mergeCell ref="BQ810:CD810"/>
    <mergeCell ref="CE643:CN643"/>
    <mergeCell ref="CO643:DI643"/>
    <mergeCell ref="DP643:FX643"/>
    <mergeCell ref="I643:Y643"/>
    <mergeCell ref="Z643:BH643"/>
    <mergeCell ref="BI643:BM643"/>
    <mergeCell ref="BN643:BP643"/>
    <mergeCell ref="BQ643:CD643"/>
    <mergeCell ref="S487:Y487"/>
    <mergeCell ref="Z487:BH487"/>
    <mergeCell ref="BI487:BM487"/>
    <mergeCell ref="BN487:BP487"/>
    <mergeCell ref="BQ487:CD487"/>
    <mergeCell ref="CE487:CN487"/>
    <mergeCell ref="CO487:DI487"/>
    <mergeCell ref="DP487:FX487"/>
    <mergeCell ref="CE233:CN233"/>
    <mergeCell ref="CO233:DI233"/>
    <mergeCell ref="BQ1:CD1"/>
    <mergeCell ref="DP81:FK81"/>
    <mergeCell ref="BN45:BP45"/>
    <mergeCell ref="DP45:FK45"/>
    <mergeCell ref="CO1:DI1"/>
    <mergeCell ref="CO45:DI45"/>
    <mergeCell ref="DP1:FX1"/>
    <mergeCell ref="CE1:CN1"/>
    <mergeCell ref="BN81:BP81"/>
    <mergeCell ref="BQ81:CD81"/>
    <mergeCell ref="CE81:CN81"/>
    <mergeCell ref="BQ45:CD45"/>
    <mergeCell ref="CE45:CN45"/>
    <mergeCell ref="BQ364:CD364"/>
    <mergeCell ref="CE364:CN364"/>
    <mergeCell ref="CO364:DI364"/>
    <mergeCell ref="DP364:FX364"/>
    <mergeCell ref="CO81:DI81"/>
    <mergeCell ref="DP136:FW136"/>
    <mergeCell ref="CE136:CN136"/>
    <mergeCell ref="BQ136:CD136"/>
    <mergeCell ref="BN1:BP1"/>
    <mergeCell ref="BI81:BM81"/>
    <mergeCell ref="S45:Y45"/>
    <mergeCell ref="Z45:BH45"/>
    <mergeCell ref="S136:Y136"/>
    <mergeCell ref="Z136:BH136"/>
    <mergeCell ref="BI136:BM136"/>
    <mergeCell ref="BI45:BM45"/>
    <mergeCell ref="S81:Y81"/>
    <mergeCell ref="Z81:BH81"/>
    <mergeCell ref="CO136:DI136"/>
    <mergeCell ref="BQ233:CD233"/>
    <mergeCell ref="F1:G1"/>
    <mergeCell ref="CE1036:CN1036"/>
    <mergeCell ref="CO1036:DI1036"/>
    <mergeCell ref="DP1036:FX1036"/>
    <mergeCell ref="I1036:Y1036"/>
    <mergeCell ref="Z1036:BH1036"/>
    <mergeCell ref="BI1036:BM1036"/>
    <mergeCell ref="BN1036:BP1036"/>
    <mergeCell ref="BQ1036:CD1036"/>
    <mergeCell ref="BN136:BP136"/>
    <mergeCell ref="I1:Y1"/>
    <mergeCell ref="DP233:FW233"/>
    <mergeCell ref="S364:Y364"/>
    <mergeCell ref="Z364:BH364"/>
    <mergeCell ref="BI364:BM364"/>
    <mergeCell ref="BN364:BP364"/>
    <mergeCell ref="S233:Y233"/>
    <mergeCell ref="Z233:BH233"/>
    <mergeCell ref="BI233:BM233"/>
    <mergeCell ref="BN233:BP233"/>
    <mergeCell ref="Z1:BH1"/>
    <mergeCell ref="BI1:BM1"/>
    <mergeCell ref="GD1227:GF1227"/>
    <mergeCell ref="F1227:G1227"/>
    <mergeCell ref="I1227:Y1227"/>
    <mergeCell ref="Z1227:BH1227"/>
    <mergeCell ref="BI1227:BM1227"/>
    <mergeCell ref="BN1227:BP1227"/>
    <mergeCell ref="BQ1227:CD1227"/>
    <mergeCell ref="CE1227:CN1227"/>
    <mergeCell ref="CO1227:DI1227"/>
    <mergeCell ref="DP1227:FX1227"/>
  </mergeCells>
  <pageMargins left="0.7" right="0.7" top="0.75" bottom="0.75" header="0.3" footer="0.3"/>
  <pageSetup paperSize="9" scale="90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6"/>
  <sheetViews>
    <sheetView workbookViewId="0">
      <selection activeCell="I6" sqref="I6"/>
    </sheetView>
  </sheetViews>
  <sheetFormatPr defaultRowHeight="15" x14ac:dyDescent="0.25"/>
  <cols>
    <col min="3" max="4" width="12.7109375" bestFit="1" customWidth="1"/>
    <col min="5" max="5" width="11.7109375" bestFit="1" customWidth="1"/>
    <col min="9" max="9" width="12" bestFit="1" customWidth="1"/>
  </cols>
  <sheetData>
    <row r="5" spans="3:9" x14ac:dyDescent="0.25">
      <c r="C5" s="352">
        <v>28529901.489999998</v>
      </c>
      <c r="D5" s="352">
        <v>23031564</v>
      </c>
      <c r="E5" s="352">
        <v>5498337.4900000002</v>
      </c>
      <c r="G5">
        <f>E5/C5</f>
        <v>0.19272192341523575</v>
      </c>
      <c r="I5">
        <f>C5*G5</f>
        <v>5498337.4900000002</v>
      </c>
    </row>
    <row r="6" spans="3:9" x14ac:dyDescent="0.25">
      <c r="G6">
        <v>0.1</v>
      </c>
      <c r="I6">
        <f>C5*G6</f>
        <v>2852990.1490000002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H19" sqref="H19"/>
    </sheetView>
  </sheetViews>
  <sheetFormatPr defaultRowHeight="15" x14ac:dyDescent="0.25"/>
  <cols>
    <col min="4" max="4" width="10.5703125" bestFit="1" customWidth="1"/>
  </cols>
  <sheetData>
    <row r="1" spans="1:7" x14ac:dyDescent="0.25">
      <c r="A1">
        <v>14200</v>
      </c>
      <c r="B1">
        <v>73.09</v>
      </c>
      <c r="D1" s="1">
        <f>A1*B1</f>
        <v>1037878</v>
      </c>
      <c r="F1">
        <v>1037878</v>
      </c>
    </row>
    <row r="2" spans="1:7" x14ac:dyDescent="0.25">
      <c r="A2">
        <v>14200</v>
      </c>
      <c r="B2">
        <v>63.34</v>
      </c>
      <c r="D2" s="1">
        <f t="shared" ref="D2:D9" si="0">A2*B2</f>
        <v>899428</v>
      </c>
      <c r="F2">
        <v>899428</v>
      </c>
    </row>
    <row r="3" spans="1:7" x14ac:dyDescent="0.25">
      <c r="A3">
        <v>14200</v>
      </c>
      <c r="B3">
        <v>50.5</v>
      </c>
      <c r="D3" s="1">
        <f t="shared" si="0"/>
        <v>717100</v>
      </c>
      <c r="F3">
        <v>717100</v>
      </c>
    </row>
    <row r="4" spans="1:7" x14ac:dyDescent="0.25">
      <c r="A4">
        <v>14200</v>
      </c>
      <c r="B4">
        <v>72.86</v>
      </c>
      <c r="D4" s="1">
        <f t="shared" si="0"/>
        <v>1034612</v>
      </c>
      <c r="F4">
        <v>1034612</v>
      </c>
    </row>
    <row r="5" spans="1:7" x14ac:dyDescent="0.25">
      <c r="A5">
        <v>14200</v>
      </c>
      <c r="B5">
        <v>62.86</v>
      </c>
      <c r="D5" s="1">
        <f t="shared" si="0"/>
        <v>892612</v>
      </c>
      <c r="F5">
        <v>892612</v>
      </c>
    </row>
    <row r="6" spans="1:7" x14ac:dyDescent="0.25">
      <c r="A6">
        <v>14200</v>
      </c>
      <c r="B6">
        <v>51.59</v>
      </c>
      <c r="D6" s="1">
        <f t="shared" si="0"/>
        <v>732578</v>
      </c>
      <c r="F6">
        <v>732578</v>
      </c>
    </row>
    <row r="7" spans="1:7" x14ac:dyDescent="0.25">
      <c r="A7">
        <v>14200</v>
      </c>
      <c r="B7">
        <v>73.180000000000007</v>
      </c>
      <c r="D7" s="1">
        <f t="shared" si="0"/>
        <v>1039156.0000000001</v>
      </c>
      <c r="F7">
        <v>1039156</v>
      </c>
    </row>
    <row r="8" spans="1:7" x14ac:dyDescent="0.25">
      <c r="A8">
        <v>14200</v>
      </c>
      <c r="B8">
        <v>63.82</v>
      </c>
      <c r="D8" s="1">
        <f t="shared" si="0"/>
        <v>906244</v>
      </c>
      <c r="F8">
        <v>906244</v>
      </c>
    </row>
    <row r="9" spans="1:7" x14ac:dyDescent="0.25">
      <c r="A9">
        <v>14200</v>
      </c>
      <c r="B9">
        <v>52.2</v>
      </c>
      <c r="D9" s="1">
        <f t="shared" si="0"/>
        <v>741240</v>
      </c>
      <c r="F9">
        <v>741240</v>
      </c>
    </row>
    <row r="10" spans="1:7" x14ac:dyDescent="0.25">
      <c r="B10">
        <f>SUM(B1:B9)</f>
        <v>563.44000000000005</v>
      </c>
      <c r="D10" s="1">
        <f>B10*14200</f>
        <v>8000848.0000000009</v>
      </c>
      <c r="F10">
        <f>SUM(F1:F9)</f>
        <v>8000848</v>
      </c>
      <c r="G10">
        <v>8000848</v>
      </c>
    </row>
    <row r="11" spans="1:7" x14ac:dyDescent="0.25">
      <c r="B11">
        <v>563.44000000000005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C9"/>
  <sheetViews>
    <sheetView workbookViewId="0">
      <selection activeCell="E17" sqref="E17"/>
    </sheetView>
  </sheetViews>
  <sheetFormatPr defaultRowHeight="15" x14ac:dyDescent="0.25"/>
  <cols>
    <col min="1" max="1" width="27.42578125" style="1" customWidth="1"/>
    <col min="2" max="2" width="13.28515625" style="1" customWidth="1"/>
    <col min="3" max="3" width="12.28515625" style="1" customWidth="1"/>
    <col min="4" max="16384" width="9.140625" style="1"/>
  </cols>
  <sheetData>
    <row r="2" spans="1:3" x14ac:dyDescent="0.25">
      <c r="A2" s="48" t="s">
        <v>5</v>
      </c>
      <c r="B2" s="48" t="s">
        <v>7</v>
      </c>
      <c r="C2" s="48" t="s">
        <v>7</v>
      </c>
    </row>
    <row r="3" spans="1:3" x14ac:dyDescent="0.25">
      <c r="A3" s="1" t="s">
        <v>41</v>
      </c>
      <c r="C3" s="3">
        <f>'Cash Book'!C937</f>
        <v>855063</v>
      </c>
    </row>
    <row r="5" spans="1:3" x14ac:dyDescent="0.25">
      <c r="A5" s="1" t="s">
        <v>427</v>
      </c>
    </row>
    <row r="6" spans="1:3" x14ac:dyDescent="0.25">
      <c r="A6" s="1" t="s">
        <v>27</v>
      </c>
      <c r="B6" s="1">
        <f>'Bank Book'!C138</f>
        <v>3422322</v>
      </c>
    </row>
    <row r="7" spans="1:3" x14ac:dyDescent="0.25">
      <c r="A7" s="1" t="s">
        <v>428</v>
      </c>
      <c r="B7" s="1">
        <f>'Bank Book'!D117</f>
        <v>3436.92</v>
      </c>
      <c r="C7" s="3">
        <f>B6+B7</f>
        <v>3425758.92</v>
      </c>
    </row>
    <row r="8" spans="1:3" ht="15.75" thickBot="1" x14ac:dyDescent="0.3">
      <c r="C8" s="9">
        <f>C3+C7</f>
        <v>4280821.92</v>
      </c>
    </row>
    <row r="9" spans="1:3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208"/>
  <sheetViews>
    <sheetView workbookViewId="0">
      <pane xSplit="3" ySplit="2" topLeftCell="D192" activePane="bottomRight" state="frozen"/>
      <selection pane="topRight" activeCell="D1" sqref="D1"/>
      <selection pane="bottomLeft" activeCell="A3" sqref="A3"/>
      <selection pane="bottomRight" activeCell="B204" sqref="B204"/>
    </sheetView>
  </sheetViews>
  <sheetFormatPr defaultRowHeight="16.5" customHeight="1" x14ac:dyDescent="0.25"/>
  <cols>
    <col min="1" max="1" width="11.5703125" style="25" customWidth="1"/>
    <col min="2" max="2" width="99.85546875" style="1" bestFit="1" customWidth="1"/>
    <col min="3" max="3" width="12.28515625" style="1" bestFit="1" customWidth="1"/>
    <col min="4" max="4" width="23.42578125" style="1" customWidth="1"/>
    <col min="5" max="5" width="13.5703125" style="1" bestFit="1" customWidth="1"/>
    <col min="6" max="8" width="16.28515625" style="1" customWidth="1"/>
    <col min="9" max="9" width="13.28515625" style="1" customWidth="1"/>
    <col min="10" max="10" width="17" style="1" customWidth="1"/>
    <col min="11" max="11" width="25.7109375" style="1" customWidth="1"/>
    <col min="12" max="12" width="14.28515625" style="1" customWidth="1"/>
    <col min="13" max="14" width="15" style="1" customWidth="1"/>
    <col min="15" max="15" width="20.42578125" style="1" bestFit="1" customWidth="1"/>
    <col min="16" max="16" width="29.140625" style="1" bestFit="1" customWidth="1"/>
    <col min="17" max="17" width="20.42578125" style="1" bestFit="1" customWidth="1"/>
    <col min="18" max="18" width="17.28515625" style="1" bestFit="1" customWidth="1"/>
    <col min="19" max="19" width="11.5703125" style="1" bestFit="1" customWidth="1"/>
    <col min="20" max="20" width="26.140625" style="1" bestFit="1" customWidth="1"/>
    <col min="21" max="21" width="10.5703125" style="1" bestFit="1" customWidth="1"/>
    <col min="22" max="22" width="36.28515625" style="1" bestFit="1" customWidth="1"/>
    <col min="23" max="23" width="37" style="1" bestFit="1" customWidth="1"/>
    <col min="24" max="24" width="28.140625" style="1" bestFit="1" customWidth="1"/>
    <col min="25" max="25" width="29.140625" style="1" bestFit="1" customWidth="1"/>
    <col min="26" max="26" width="29.140625" style="1" customWidth="1"/>
    <col min="27" max="27" width="29.42578125" style="1" bestFit="1" customWidth="1"/>
    <col min="28" max="28" width="23.85546875" style="1" bestFit="1" customWidth="1"/>
    <col min="29" max="16384" width="9.140625" style="1"/>
  </cols>
  <sheetData>
    <row r="1" spans="1:28" ht="16.5" hidden="1" customHeight="1" x14ac:dyDescent="0.25">
      <c r="A1" s="71"/>
      <c r="F1" s="378" t="s">
        <v>28</v>
      </c>
      <c r="G1" s="378"/>
      <c r="H1" s="159"/>
      <c r="M1" s="378" t="s">
        <v>77</v>
      </c>
      <c r="N1" s="378"/>
      <c r="O1" s="378"/>
      <c r="P1" s="378" t="s">
        <v>65</v>
      </c>
      <c r="Q1" s="378"/>
      <c r="T1" s="378" t="s">
        <v>90</v>
      </c>
      <c r="U1" s="378"/>
      <c r="V1" s="378"/>
      <c r="W1" s="378"/>
      <c r="X1" s="378"/>
    </row>
    <row r="2" spans="1:28" s="40" customFormat="1" ht="16.5" customHeight="1" x14ac:dyDescent="0.25">
      <c r="A2" s="40" t="s">
        <v>0</v>
      </c>
      <c r="B2" s="40" t="s">
        <v>5</v>
      </c>
      <c r="C2" s="153" t="s">
        <v>27</v>
      </c>
      <c r="D2" s="40" t="s">
        <v>81</v>
      </c>
      <c r="E2" s="151" t="s">
        <v>1359</v>
      </c>
      <c r="F2" s="71" t="s">
        <v>27</v>
      </c>
      <c r="G2" s="71" t="s">
        <v>81</v>
      </c>
      <c r="H2" s="159" t="s">
        <v>281</v>
      </c>
      <c r="I2" s="40" t="s">
        <v>40</v>
      </c>
      <c r="J2" s="40" t="s">
        <v>49</v>
      </c>
      <c r="K2" s="40" t="s">
        <v>643</v>
      </c>
      <c r="L2" s="40" t="s">
        <v>60</v>
      </c>
      <c r="M2" s="40" t="s">
        <v>256</v>
      </c>
      <c r="N2" s="151" t="s">
        <v>673</v>
      </c>
      <c r="O2" s="74" t="s">
        <v>438</v>
      </c>
      <c r="P2" s="40" t="s">
        <v>256</v>
      </c>
      <c r="Q2" s="40" t="s">
        <v>438</v>
      </c>
      <c r="R2" s="40" t="s">
        <v>330</v>
      </c>
      <c r="S2" s="124" t="s">
        <v>917</v>
      </c>
      <c r="T2" s="150" t="s">
        <v>1343</v>
      </c>
      <c r="U2" s="238" t="s">
        <v>613</v>
      </c>
      <c r="V2" s="40" t="s">
        <v>314</v>
      </c>
      <c r="W2" s="11" t="s">
        <v>329</v>
      </c>
      <c r="X2" s="74" t="s">
        <v>537</v>
      </c>
      <c r="Y2" s="74" t="s">
        <v>257</v>
      </c>
      <c r="Z2" s="120" t="s">
        <v>901</v>
      </c>
      <c r="AA2" s="74" t="s">
        <v>536</v>
      </c>
      <c r="AB2" s="40" t="s">
        <v>1645</v>
      </c>
    </row>
    <row r="3" spans="1:28" ht="16.5" customHeight="1" x14ac:dyDescent="0.25">
      <c r="A3" s="25" t="s">
        <v>1</v>
      </c>
      <c r="B3" s="18" t="s">
        <v>2</v>
      </c>
      <c r="C3" s="25">
        <v>1587187</v>
      </c>
      <c r="D3" s="25">
        <v>4746.92</v>
      </c>
      <c r="E3" s="151"/>
      <c r="J3" s="25"/>
      <c r="K3" s="25"/>
    </row>
    <row r="4" spans="1:28" ht="16.5" customHeight="1" x14ac:dyDescent="0.25">
      <c r="A4" s="25" t="s">
        <v>3</v>
      </c>
      <c r="B4" s="18" t="s">
        <v>643</v>
      </c>
      <c r="C4" s="25">
        <v>-200000</v>
      </c>
      <c r="D4" s="25"/>
      <c r="E4" s="151"/>
      <c r="F4" s="25"/>
      <c r="G4" s="44"/>
      <c r="H4" s="159"/>
      <c r="J4" s="25"/>
      <c r="K4" s="25">
        <v>200000</v>
      </c>
    </row>
    <row r="5" spans="1:28" ht="16.5" customHeight="1" x14ac:dyDescent="0.25">
      <c r="A5" s="25" t="s">
        <v>17</v>
      </c>
      <c r="B5" s="18" t="s">
        <v>300</v>
      </c>
      <c r="C5" s="1">
        <v>-150000</v>
      </c>
      <c r="F5" s="1">
        <v>150000</v>
      </c>
    </row>
    <row r="6" spans="1:28" ht="16.5" customHeight="1" x14ac:dyDescent="0.25">
      <c r="A6" s="25" t="s">
        <v>9</v>
      </c>
      <c r="B6" s="18" t="s">
        <v>301</v>
      </c>
      <c r="C6" s="1">
        <v>-200000</v>
      </c>
      <c r="F6" s="1">
        <v>200000</v>
      </c>
    </row>
    <row r="7" spans="1:28" ht="16.5" customHeight="1" x14ac:dyDescent="0.25">
      <c r="A7" s="25" t="s">
        <v>31</v>
      </c>
      <c r="B7" s="18" t="s">
        <v>302</v>
      </c>
      <c r="C7" s="1">
        <v>-500000</v>
      </c>
      <c r="F7" s="1">
        <v>500000</v>
      </c>
    </row>
    <row r="8" spans="1:28" ht="16.5" customHeight="1" x14ac:dyDescent="0.25">
      <c r="A8" s="25" t="s">
        <v>31</v>
      </c>
      <c r="B8" s="18" t="s">
        <v>40</v>
      </c>
      <c r="D8" s="1">
        <v>-1310</v>
      </c>
      <c r="I8" s="1">
        <v>1310</v>
      </c>
    </row>
    <row r="9" spans="1:28" ht="16.5" customHeight="1" x14ac:dyDescent="0.25">
      <c r="A9" s="25" t="s">
        <v>33</v>
      </c>
      <c r="B9" s="18" t="s">
        <v>40</v>
      </c>
      <c r="C9" s="1">
        <v>-60</v>
      </c>
      <c r="I9" s="1">
        <v>60</v>
      </c>
    </row>
    <row r="10" spans="1:28" ht="16.5" customHeight="1" x14ac:dyDescent="0.25">
      <c r="A10" s="25" t="s">
        <v>33</v>
      </c>
      <c r="B10" s="18" t="s">
        <v>49</v>
      </c>
      <c r="C10" s="1">
        <v>500000</v>
      </c>
      <c r="J10" s="1">
        <v>500000</v>
      </c>
    </row>
    <row r="11" spans="1:28" s="4" customFormat="1" ht="16.5" customHeight="1" x14ac:dyDescent="0.25">
      <c r="A11" s="10"/>
      <c r="B11" s="32"/>
      <c r="C11" s="4">
        <f>SUM(C3:C10)</f>
        <v>1037127</v>
      </c>
      <c r="D11" s="4">
        <f>SUM(D3:D10)</f>
        <v>3436.92</v>
      </c>
      <c r="F11" s="4">
        <f>SUM(F2:F10)</f>
        <v>850000</v>
      </c>
      <c r="I11" s="4">
        <f t="shared" ref="I11:R11" si="0">SUM(I3:I10)</f>
        <v>1370</v>
      </c>
      <c r="J11" s="4">
        <f t="shared" si="0"/>
        <v>500000</v>
      </c>
      <c r="K11" s="4">
        <f t="shared" si="0"/>
        <v>200000</v>
      </c>
      <c r="L11" s="4">
        <f t="shared" si="0"/>
        <v>0</v>
      </c>
      <c r="M11" s="4">
        <f t="shared" si="0"/>
        <v>0</v>
      </c>
      <c r="P11" s="4">
        <f t="shared" si="0"/>
        <v>0</v>
      </c>
      <c r="R11" s="4">
        <f t="shared" si="0"/>
        <v>0</v>
      </c>
    </row>
    <row r="12" spans="1:28" s="7" customFormat="1" ht="16.5" customHeight="1" x14ac:dyDescent="0.25">
      <c r="A12" s="11"/>
      <c r="B12" s="41"/>
      <c r="F12" s="378" t="s">
        <v>28</v>
      </c>
      <c r="G12" s="378"/>
      <c r="H12" s="159"/>
      <c r="M12" s="378" t="s">
        <v>77</v>
      </c>
      <c r="N12" s="378"/>
      <c r="O12" s="378"/>
      <c r="P12" s="378" t="s">
        <v>65</v>
      </c>
      <c r="Q12" s="378"/>
      <c r="T12" s="378" t="s">
        <v>90</v>
      </c>
      <c r="U12" s="378"/>
      <c r="V12" s="378"/>
      <c r="W12" s="378"/>
      <c r="X12" s="378"/>
    </row>
    <row r="13" spans="1:28" s="42" customFormat="1" ht="16.5" customHeight="1" x14ac:dyDescent="0.25">
      <c r="A13" s="42" t="s">
        <v>0</v>
      </c>
      <c r="B13" s="42" t="s">
        <v>5</v>
      </c>
      <c r="C13" s="42" t="s">
        <v>89</v>
      </c>
      <c r="D13" s="42" t="s">
        <v>81</v>
      </c>
      <c r="E13" s="151" t="s">
        <v>1359</v>
      </c>
      <c r="F13" s="71" t="s">
        <v>27</v>
      </c>
      <c r="G13" s="71" t="s">
        <v>81</v>
      </c>
      <c r="H13" s="159" t="s">
        <v>281</v>
      </c>
      <c r="I13" s="42" t="s">
        <v>40</v>
      </c>
      <c r="J13" s="42" t="s">
        <v>49</v>
      </c>
      <c r="K13" s="89" t="s">
        <v>643</v>
      </c>
      <c r="L13" s="42" t="s">
        <v>60</v>
      </c>
      <c r="M13" s="42" t="s">
        <v>256</v>
      </c>
      <c r="N13" s="151" t="s">
        <v>673</v>
      </c>
      <c r="O13" s="74" t="s">
        <v>438</v>
      </c>
      <c r="P13" s="74" t="s">
        <v>256</v>
      </c>
      <c r="Q13" s="74" t="s">
        <v>438</v>
      </c>
      <c r="R13" s="42" t="s">
        <v>330</v>
      </c>
      <c r="S13" s="124" t="s">
        <v>917</v>
      </c>
      <c r="T13" s="150" t="s">
        <v>1343</v>
      </c>
      <c r="U13" s="238" t="s">
        <v>613</v>
      </c>
      <c r="V13" s="42" t="s">
        <v>314</v>
      </c>
      <c r="W13" s="11" t="s">
        <v>329</v>
      </c>
      <c r="X13" s="74" t="s">
        <v>537</v>
      </c>
      <c r="Y13" s="74" t="s">
        <v>257</v>
      </c>
      <c r="Z13" s="120" t="s">
        <v>901</v>
      </c>
      <c r="AA13" s="74" t="s">
        <v>536</v>
      </c>
      <c r="AB13" s="183" t="s">
        <v>1645</v>
      </c>
    </row>
    <row r="14" spans="1:28" ht="16.5" customHeight="1" x14ac:dyDescent="0.25">
      <c r="A14" s="40" t="s">
        <v>43</v>
      </c>
      <c r="B14" s="18" t="s">
        <v>2</v>
      </c>
      <c r="C14" s="1">
        <f>C11</f>
        <v>1037127</v>
      </c>
      <c r="D14" s="1">
        <f>D11</f>
        <v>3436.92</v>
      </c>
      <c r="K14" s="1">
        <f>K11</f>
        <v>200000</v>
      </c>
    </row>
    <row r="15" spans="1:28" ht="16.5" customHeight="1" x14ac:dyDescent="0.25">
      <c r="A15" s="25" t="s">
        <v>53</v>
      </c>
      <c r="B15" s="18" t="s">
        <v>299</v>
      </c>
      <c r="C15" s="1">
        <v>-500000</v>
      </c>
      <c r="F15" s="1">
        <v>500000</v>
      </c>
    </row>
    <row r="16" spans="1:28" ht="16.5" customHeight="1" x14ac:dyDescent="0.25">
      <c r="A16" s="25" t="s">
        <v>196</v>
      </c>
      <c r="B16" s="18" t="s">
        <v>40</v>
      </c>
      <c r="C16" s="1">
        <v>-60</v>
      </c>
      <c r="I16" s="1">
        <v>60</v>
      </c>
    </row>
    <row r="17" spans="1:28" ht="16.5" customHeight="1" x14ac:dyDescent="0.25">
      <c r="A17" s="25" t="s">
        <v>196</v>
      </c>
      <c r="B17" s="18" t="s">
        <v>49</v>
      </c>
      <c r="C17" s="1">
        <v>800000</v>
      </c>
      <c r="J17" s="1">
        <v>800000</v>
      </c>
    </row>
    <row r="18" spans="1:28" ht="16.5" customHeight="1" x14ac:dyDescent="0.25">
      <c r="A18" s="25" t="s">
        <v>254</v>
      </c>
      <c r="B18" s="18" t="s">
        <v>40</v>
      </c>
      <c r="C18" s="1">
        <v>-60</v>
      </c>
      <c r="I18" s="1">
        <v>60</v>
      </c>
    </row>
    <row r="19" spans="1:28" s="4" customFormat="1" ht="16.5" customHeight="1" x14ac:dyDescent="0.25">
      <c r="A19" s="10" t="s">
        <v>255</v>
      </c>
      <c r="B19" s="32" t="s">
        <v>61</v>
      </c>
      <c r="C19" s="4">
        <v>1536500</v>
      </c>
      <c r="L19" s="4">
        <v>1536500</v>
      </c>
    </row>
    <row r="20" spans="1:28" ht="16.5" customHeight="1" x14ac:dyDescent="0.25">
      <c r="A20" s="25" t="s">
        <v>64</v>
      </c>
      <c r="B20" s="18" t="s">
        <v>298</v>
      </c>
      <c r="C20" s="1">
        <v>-450000</v>
      </c>
      <c r="F20" s="1">
        <v>450000</v>
      </c>
    </row>
    <row r="21" spans="1:28" ht="16.5" customHeight="1" x14ac:dyDescent="0.25">
      <c r="A21" s="25" t="s">
        <v>73</v>
      </c>
      <c r="B21" s="18" t="s">
        <v>49</v>
      </c>
      <c r="C21" s="1">
        <v>700000</v>
      </c>
      <c r="J21" s="1">
        <v>700000</v>
      </c>
    </row>
    <row r="22" spans="1:28" ht="16.5" customHeight="1" x14ac:dyDescent="0.25">
      <c r="A22" s="25" t="s">
        <v>73</v>
      </c>
      <c r="B22" s="18" t="s">
        <v>40</v>
      </c>
      <c r="C22" s="1">
        <v>-60</v>
      </c>
      <c r="I22" s="1">
        <v>60</v>
      </c>
    </row>
    <row r="23" spans="1:28" ht="16.5" customHeight="1" x14ac:dyDescent="0.25">
      <c r="A23" s="31" t="s">
        <v>85</v>
      </c>
      <c r="B23" s="18" t="s">
        <v>569</v>
      </c>
      <c r="C23" s="1">
        <v>5550000</v>
      </c>
      <c r="M23" s="1">
        <f>C23</f>
        <v>5550000</v>
      </c>
    </row>
    <row r="24" spans="1:28" ht="16.5" customHeight="1" x14ac:dyDescent="0.25">
      <c r="A24" s="25" t="s">
        <v>85</v>
      </c>
      <c r="B24" s="18" t="s">
        <v>569</v>
      </c>
      <c r="C24" s="1">
        <v>3278000</v>
      </c>
      <c r="M24" s="1">
        <f>C24</f>
        <v>3278000</v>
      </c>
    </row>
    <row r="25" spans="1:28" ht="16.5" customHeight="1" x14ac:dyDescent="0.25">
      <c r="A25" s="25" t="s">
        <v>85</v>
      </c>
      <c r="B25" s="18" t="s">
        <v>1646</v>
      </c>
      <c r="C25" s="1">
        <v>-10451000</v>
      </c>
      <c r="AB25" s="1">
        <v>10451000</v>
      </c>
    </row>
    <row r="26" spans="1:28" ht="16.5" customHeight="1" x14ac:dyDescent="0.25">
      <c r="A26" s="25" t="s">
        <v>258</v>
      </c>
      <c r="B26" s="18" t="s">
        <v>40</v>
      </c>
      <c r="C26" s="1">
        <f>-15-100-75-500</f>
        <v>-690</v>
      </c>
      <c r="I26" s="1">
        <v>690</v>
      </c>
    </row>
    <row r="27" spans="1:28" s="4" customFormat="1" ht="16.5" customHeight="1" x14ac:dyDescent="0.25">
      <c r="A27" s="10"/>
      <c r="B27" s="32"/>
      <c r="C27" s="4">
        <f>SUM(C14:C26)</f>
        <v>1499757</v>
      </c>
      <c r="D27" s="4">
        <f t="shared" ref="D27:AB27" si="1">SUM(D14:D26)</f>
        <v>3436.92</v>
      </c>
      <c r="E27" s="4">
        <f t="shared" si="1"/>
        <v>0</v>
      </c>
      <c r="F27" s="4">
        <f t="shared" si="1"/>
        <v>950000</v>
      </c>
      <c r="G27" s="4">
        <f t="shared" si="1"/>
        <v>0</v>
      </c>
      <c r="H27" s="4">
        <f t="shared" si="1"/>
        <v>0</v>
      </c>
      <c r="I27" s="4">
        <f t="shared" si="1"/>
        <v>870</v>
      </c>
      <c r="J27" s="4">
        <f t="shared" si="1"/>
        <v>1500000</v>
      </c>
      <c r="K27" s="4">
        <f t="shared" si="1"/>
        <v>200000</v>
      </c>
      <c r="L27" s="4">
        <f t="shared" si="1"/>
        <v>1536500</v>
      </c>
      <c r="M27" s="4">
        <f t="shared" si="1"/>
        <v>8828000</v>
      </c>
      <c r="N27" s="4">
        <f t="shared" si="1"/>
        <v>0</v>
      </c>
      <c r="O27" s="4">
        <f t="shared" si="1"/>
        <v>0</v>
      </c>
      <c r="P27" s="4">
        <f t="shared" si="1"/>
        <v>0</v>
      </c>
      <c r="Q27" s="4">
        <f t="shared" si="1"/>
        <v>0</v>
      </c>
      <c r="R27" s="4">
        <f t="shared" si="1"/>
        <v>0</v>
      </c>
      <c r="S27" s="4">
        <f t="shared" si="1"/>
        <v>0</v>
      </c>
      <c r="T27" s="4">
        <f t="shared" si="1"/>
        <v>0</v>
      </c>
      <c r="V27" s="4">
        <f t="shared" si="1"/>
        <v>0</v>
      </c>
      <c r="W27" s="4">
        <f t="shared" si="1"/>
        <v>0</v>
      </c>
      <c r="X27" s="4">
        <f t="shared" si="1"/>
        <v>0</v>
      </c>
      <c r="Y27" s="4">
        <f t="shared" si="1"/>
        <v>0</v>
      </c>
      <c r="Z27" s="4">
        <f t="shared" si="1"/>
        <v>0</v>
      </c>
      <c r="AA27" s="4">
        <f t="shared" si="1"/>
        <v>0</v>
      </c>
      <c r="AB27" s="4">
        <f t="shared" si="1"/>
        <v>10451000</v>
      </c>
    </row>
    <row r="28" spans="1:28" s="7" customFormat="1" ht="16.5" customHeight="1" x14ac:dyDescent="0.25">
      <c r="A28" s="11"/>
      <c r="B28" s="41"/>
    </row>
    <row r="29" spans="1:28" s="7" customFormat="1" ht="16.5" customHeight="1" x14ac:dyDescent="0.25">
      <c r="A29" s="11"/>
      <c r="B29" s="41"/>
      <c r="F29" s="378" t="s">
        <v>28</v>
      </c>
      <c r="G29" s="378"/>
      <c r="H29" s="159"/>
      <c r="M29" s="378" t="s">
        <v>77</v>
      </c>
      <c r="N29" s="378"/>
      <c r="O29" s="378"/>
      <c r="P29" s="378" t="s">
        <v>65</v>
      </c>
      <c r="Q29" s="378"/>
      <c r="T29" s="378" t="s">
        <v>90</v>
      </c>
      <c r="U29" s="378"/>
      <c r="V29" s="378"/>
      <c r="W29" s="378"/>
      <c r="X29" s="378"/>
    </row>
    <row r="30" spans="1:28" s="42" customFormat="1" ht="16.5" customHeight="1" x14ac:dyDescent="0.25">
      <c r="A30" s="42" t="s">
        <v>0</v>
      </c>
      <c r="B30" s="42" t="s">
        <v>5</v>
      </c>
      <c r="C30" s="42" t="s">
        <v>89</v>
      </c>
      <c r="D30" s="42" t="s">
        <v>81</v>
      </c>
      <c r="E30" s="151" t="s">
        <v>1359</v>
      </c>
      <c r="F30" s="71" t="s">
        <v>27</v>
      </c>
      <c r="G30" s="71" t="s">
        <v>81</v>
      </c>
      <c r="H30" s="159" t="s">
        <v>281</v>
      </c>
      <c r="I30" s="42" t="s">
        <v>40</v>
      </c>
      <c r="J30" s="42" t="s">
        <v>49</v>
      </c>
      <c r="K30" s="89" t="s">
        <v>643</v>
      </c>
      <c r="L30" s="42" t="s">
        <v>60</v>
      </c>
      <c r="M30" s="42" t="s">
        <v>256</v>
      </c>
      <c r="N30" s="151" t="s">
        <v>673</v>
      </c>
      <c r="O30" s="74" t="s">
        <v>438</v>
      </c>
      <c r="P30" s="74" t="s">
        <v>256</v>
      </c>
      <c r="Q30" s="74" t="s">
        <v>438</v>
      </c>
      <c r="R30" s="42" t="s">
        <v>330</v>
      </c>
      <c r="S30" s="124" t="s">
        <v>917</v>
      </c>
      <c r="T30" s="150" t="s">
        <v>1343</v>
      </c>
      <c r="U30" s="238" t="s">
        <v>613</v>
      </c>
      <c r="V30" s="42" t="s">
        <v>314</v>
      </c>
      <c r="W30" s="11" t="s">
        <v>329</v>
      </c>
      <c r="X30" s="74" t="s">
        <v>537</v>
      </c>
      <c r="Y30" s="74" t="s">
        <v>257</v>
      </c>
      <c r="Z30" s="120" t="s">
        <v>901</v>
      </c>
      <c r="AA30" s="74" t="s">
        <v>536</v>
      </c>
      <c r="AB30" s="183" t="s">
        <v>1645</v>
      </c>
    </row>
    <row r="31" spans="1:28" ht="16.5" customHeight="1" x14ac:dyDescent="0.25">
      <c r="A31" s="33" t="s">
        <v>97</v>
      </c>
      <c r="B31" s="18" t="s">
        <v>2</v>
      </c>
      <c r="C31" s="33">
        <f>C27</f>
        <v>1499757</v>
      </c>
      <c r="D31" s="33">
        <f>D27</f>
        <v>3436.92</v>
      </c>
      <c r="E31" s="151"/>
      <c r="J31" s="33"/>
      <c r="K31" s="18">
        <f>K27</f>
        <v>200000</v>
      </c>
      <c r="M31" s="33"/>
      <c r="N31" s="151"/>
      <c r="O31" s="50"/>
      <c r="P31" s="18"/>
      <c r="Q31" s="18"/>
      <c r="R31" s="33"/>
      <c r="S31" s="124"/>
      <c r="T31" s="150"/>
      <c r="U31" s="238"/>
    </row>
    <row r="32" spans="1:28" ht="16.5" customHeight="1" x14ac:dyDescent="0.25">
      <c r="A32" s="1" t="s">
        <v>219</v>
      </c>
      <c r="B32" s="7" t="s">
        <v>286</v>
      </c>
      <c r="C32" s="25">
        <v>-750000</v>
      </c>
      <c r="F32" s="1">
        <v>750000</v>
      </c>
    </row>
    <row r="33" spans="1:28" ht="16.5" customHeight="1" x14ac:dyDescent="0.25">
      <c r="A33" s="1" t="s">
        <v>235</v>
      </c>
      <c r="B33" s="7" t="s">
        <v>287</v>
      </c>
      <c r="C33" s="25">
        <v>-300000</v>
      </c>
      <c r="F33" s="1">
        <v>300000</v>
      </c>
    </row>
    <row r="34" spans="1:28" ht="16.5" customHeight="1" x14ac:dyDescent="0.25">
      <c r="A34" s="1" t="s">
        <v>240</v>
      </c>
      <c r="B34" s="18" t="s">
        <v>330</v>
      </c>
      <c r="C34" s="1">
        <v>5150948</v>
      </c>
      <c r="R34" s="1">
        <f>C34</f>
        <v>5150948</v>
      </c>
    </row>
    <row r="35" spans="1:28" ht="16.5" customHeight="1" x14ac:dyDescent="0.25">
      <c r="A35" s="1" t="s">
        <v>263</v>
      </c>
      <c r="B35" s="7" t="s">
        <v>288</v>
      </c>
      <c r="C35" s="1">
        <v>-200000</v>
      </c>
      <c r="F35" s="1">
        <v>200000</v>
      </c>
    </row>
    <row r="36" spans="1:28" ht="16.5" customHeight="1" x14ac:dyDescent="0.25">
      <c r="A36" s="1" t="s">
        <v>315</v>
      </c>
      <c r="B36" s="7" t="s">
        <v>329</v>
      </c>
      <c r="C36" s="1">
        <v>-200000</v>
      </c>
      <c r="W36" s="1">
        <v>200000</v>
      </c>
    </row>
    <row r="37" spans="1:28" ht="16.5" customHeight="1" x14ac:dyDescent="0.25">
      <c r="A37" s="34" t="s">
        <v>313</v>
      </c>
      <c r="B37" s="18" t="s">
        <v>314</v>
      </c>
      <c r="C37" s="1">
        <v>-520000</v>
      </c>
      <c r="V37" s="1">
        <v>520000</v>
      </c>
    </row>
    <row r="38" spans="1:28" ht="16.5" customHeight="1" x14ac:dyDescent="0.25">
      <c r="B38" s="18"/>
      <c r="C38" s="4">
        <f>SUM(C31:C37)</f>
        <v>4680705</v>
      </c>
      <c r="D38" s="4">
        <f>SUM(D31:D37)</f>
        <v>3436.92</v>
      </c>
      <c r="E38" s="4"/>
      <c r="F38" s="4">
        <f>SUM(F30:F37)</f>
        <v>1250000</v>
      </c>
      <c r="G38" s="4"/>
      <c r="H38" s="4"/>
      <c r="I38" s="4">
        <f>SUM(I31:I37)</f>
        <v>0</v>
      </c>
      <c r="J38" s="4">
        <f>SUM(J31:J37)</f>
        <v>0</v>
      </c>
      <c r="K38" s="4">
        <f>SUM(K31:K37)</f>
        <v>200000</v>
      </c>
      <c r="L38" s="4">
        <f>SUM(L31:L37)</f>
        <v>0</v>
      </c>
      <c r="M38" s="4">
        <f>SUM(M31:M37)</f>
        <v>0</v>
      </c>
      <c r="N38" s="4"/>
      <c r="O38" s="4"/>
      <c r="P38" s="4">
        <f>SUM(P31:P37)</f>
        <v>0</v>
      </c>
      <c r="Q38" s="4"/>
      <c r="R38" s="4">
        <f>SUM(R31:R37)</f>
        <v>5150948</v>
      </c>
      <c r="S38" s="4"/>
      <c r="T38" s="4"/>
      <c r="U38" s="4"/>
      <c r="V38" s="4">
        <f>SUM(V31:V37)</f>
        <v>520000</v>
      </c>
      <c r="W38" s="4">
        <f>SUM(W31:W37)</f>
        <v>200000</v>
      </c>
    </row>
    <row r="39" spans="1:28" ht="16.5" customHeight="1" x14ac:dyDescent="0.25">
      <c r="A39" s="25" t="s">
        <v>533</v>
      </c>
      <c r="B39" s="18"/>
      <c r="F39" s="378" t="s">
        <v>28</v>
      </c>
      <c r="G39" s="378"/>
      <c r="H39" s="159"/>
      <c r="M39" s="378" t="s">
        <v>77</v>
      </c>
      <c r="N39" s="378"/>
      <c r="O39" s="378"/>
      <c r="P39" s="378" t="s">
        <v>65</v>
      </c>
      <c r="Q39" s="378"/>
      <c r="T39" s="378" t="s">
        <v>90</v>
      </c>
      <c r="U39" s="378"/>
      <c r="V39" s="378"/>
      <c r="W39" s="378"/>
      <c r="X39" s="378"/>
    </row>
    <row r="40" spans="1:28" s="42" customFormat="1" ht="16.5" customHeight="1" x14ac:dyDescent="0.25">
      <c r="A40" s="42" t="s">
        <v>0</v>
      </c>
      <c r="B40" s="42" t="s">
        <v>5</v>
      </c>
      <c r="C40" s="42" t="s">
        <v>27</v>
      </c>
      <c r="D40" s="42" t="s">
        <v>81</v>
      </c>
      <c r="E40" s="151" t="s">
        <v>1359</v>
      </c>
      <c r="F40" s="42" t="s">
        <v>27</v>
      </c>
      <c r="G40" s="44" t="s">
        <v>81</v>
      </c>
      <c r="H40" s="159" t="s">
        <v>281</v>
      </c>
      <c r="I40" s="42" t="s">
        <v>40</v>
      </c>
      <c r="J40" s="42" t="s">
        <v>49</v>
      </c>
      <c r="K40" s="89" t="s">
        <v>643</v>
      </c>
      <c r="L40" s="42" t="s">
        <v>60</v>
      </c>
      <c r="M40" s="42" t="s">
        <v>256</v>
      </c>
      <c r="N40" s="151" t="s">
        <v>673</v>
      </c>
      <c r="O40" s="74" t="s">
        <v>438</v>
      </c>
      <c r="P40" s="42" t="s">
        <v>256</v>
      </c>
      <c r="Q40" s="74" t="s">
        <v>438</v>
      </c>
      <c r="R40" s="42" t="s">
        <v>330</v>
      </c>
      <c r="S40" s="124" t="s">
        <v>917</v>
      </c>
      <c r="T40" s="150" t="s">
        <v>1343</v>
      </c>
      <c r="U40" s="238" t="s">
        <v>613</v>
      </c>
      <c r="V40" s="42" t="s">
        <v>439</v>
      </c>
      <c r="W40" s="11" t="s">
        <v>440</v>
      </c>
      <c r="X40" s="42" t="s">
        <v>537</v>
      </c>
      <c r="Y40" s="50" t="s">
        <v>257</v>
      </c>
      <c r="Z40" s="120" t="s">
        <v>901</v>
      </c>
      <c r="AA40" s="74" t="s">
        <v>536</v>
      </c>
      <c r="AB40" s="183" t="s">
        <v>1645</v>
      </c>
    </row>
    <row r="41" spans="1:28" ht="16.5" customHeight="1" x14ac:dyDescent="0.25">
      <c r="A41" s="25" t="s">
        <v>328</v>
      </c>
      <c r="B41" s="18" t="s">
        <v>2</v>
      </c>
      <c r="C41" s="3">
        <f>C38</f>
        <v>4680705</v>
      </c>
      <c r="D41" s="3">
        <f>D38</f>
        <v>3436.92</v>
      </c>
      <c r="E41" s="3"/>
      <c r="F41" s="3"/>
      <c r="G41" s="3"/>
      <c r="H41" s="3"/>
      <c r="J41" s="3"/>
      <c r="K41" s="3"/>
      <c r="L41" s="3"/>
      <c r="V41" s="1">
        <f>V38</f>
        <v>520000</v>
      </c>
      <c r="W41" s="1">
        <f>W38</f>
        <v>200000</v>
      </c>
    </row>
    <row r="42" spans="1:28" ht="16.5" customHeight="1" x14ac:dyDescent="0.25">
      <c r="A42" s="25" t="s">
        <v>354</v>
      </c>
      <c r="B42" s="18" t="s">
        <v>464</v>
      </c>
      <c r="C42" s="1">
        <v>500000</v>
      </c>
      <c r="J42" s="1">
        <v>500000</v>
      </c>
    </row>
    <row r="43" spans="1:28" ht="16.5" customHeight="1" x14ac:dyDescent="0.25">
      <c r="A43" s="25" t="s">
        <v>368</v>
      </c>
      <c r="B43" s="1" t="s">
        <v>369</v>
      </c>
      <c r="C43" s="1">
        <v>-600000</v>
      </c>
      <c r="F43" s="1">
        <v>600000</v>
      </c>
    </row>
    <row r="44" spans="1:28" ht="16.5" customHeight="1" x14ac:dyDescent="0.25">
      <c r="A44" s="25" t="s">
        <v>386</v>
      </c>
      <c r="B44" s="1" t="s">
        <v>385</v>
      </c>
      <c r="C44" s="1">
        <v>-300000</v>
      </c>
      <c r="F44" s="1">
        <v>300000</v>
      </c>
    </row>
    <row r="45" spans="1:28" ht="16.5" customHeight="1" x14ac:dyDescent="0.25">
      <c r="A45" s="47" t="s">
        <v>426</v>
      </c>
      <c r="B45" s="1" t="s">
        <v>441</v>
      </c>
      <c r="C45" s="1">
        <v>5000000</v>
      </c>
      <c r="M45" s="1">
        <v>5000000</v>
      </c>
    </row>
    <row r="46" spans="1:28" ht="16.5" customHeight="1" x14ac:dyDescent="0.25">
      <c r="A46" s="47" t="s">
        <v>416</v>
      </c>
      <c r="B46" s="1" t="s">
        <v>685</v>
      </c>
      <c r="C46" s="1">
        <v>-2500000</v>
      </c>
      <c r="P46" s="1">
        <v>2500000</v>
      </c>
    </row>
    <row r="47" spans="1:28" ht="16.5" customHeight="1" x14ac:dyDescent="0.25">
      <c r="A47" s="48" t="s">
        <v>429</v>
      </c>
      <c r="B47" s="1" t="s">
        <v>573</v>
      </c>
      <c r="C47" s="1">
        <v>-3200000</v>
      </c>
      <c r="Y47" s="1">
        <v>3200000</v>
      </c>
    </row>
    <row r="48" spans="1:28" ht="16.5" customHeight="1" x14ac:dyDescent="0.25">
      <c r="A48" s="50" t="s">
        <v>429</v>
      </c>
      <c r="B48" s="1" t="s">
        <v>436</v>
      </c>
      <c r="C48" s="1">
        <v>300000</v>
      </c>
      <c r="O48" s="1">
        <v>300000</v>
      </c>
    </row>
    <row r="49" spans="1:28" ht="16.5" customHeight="1" x14ac:dyDescent="0.25">
      <c r="A49" s="50" t="s">
        <v>435</v>
      </c>
      <c r="B49" s="1" t="s">
        <v>437</v>
      </c>
      <c r="C49" s="1">
        <v>-300000</v>
      </c>
      <c r="Q49" s="1">
        <v>300000</v>
      </c>
    </row>
    <row r="50" spans="1:28" ht="16.5" customHeight="1" x14ac:dyDescent="0.25">
      <c r="A50" s="50" t="s">
        <v>435</v>
      </c>
      <c r="B50" s="18" t="s">
        <v>463</v>
      </c>
      <c r="C50" s="1">
        <v>-1380000</v>
      </c>
      <c r="X50" s="1">
        <v>1380000</v>
      </c>
    </row>
    <row r="51" spans="1:28" ht="16.5" customHeight="1" x14ac:dyDescent="0.25">
      <c r="A51" s="50" t="s">
        <v>435</v>
      </c>
      <c r="B51" s="1" t="s">
        <v>432</v>
      </c>
      <c r="C51" s="1">
        <v>-250000</v>
      </c>
      <c r="F51" s="1">
        <v>250000</v>
      </c>
    </row>
    <row r="52" spans="1:28" ht="16.5" customHeight="1" x14ac:dyDescent="0.25">
      <c r="A52" s="25" t="s">
        <v>458</v>
      </c>
      <c r="B52" s="18" t="s">
        <v>465</v>
      </c>
      <c r="C52" s="1">
        <v>990250</v>
      </c>
      <c r="J52" s="1">
        <v>990250</v>
      </c>
    </row>
    <row r="53" spans="1:28" ht="16.5" customHeight="1" x14ac:dyDescent="0.25">
      <c r="A53" s="25" t="s">
        <v>466</v>
      </c>
      <c r="B53" s="1" t="s">
        <v>467</v>
      </c>
      <c r="C53" s="1">
        <v>-900000</v>
      </c>
      <c r="F53" s="1">
        <v>900000</v>
      </c>
    </row>
    <row r="54" spans="1:28" ht="16.5" customHeight="1" x14ac:dyDescent="0.25">
      <c r="B54" s="18"/>
      <c r="C54" s="3">
        <f>SUM(C41:C53)</f>
        <v>2040955</v>
      </c>
      <c r="D54" s="3">
        <f>SUM(D41:D53)</f>
        <v>3436.92</v>
      </c>
      <c r="E54" s="3"/>
      <c r="F54" s="3">
        <f>SUM(F41:F53)</f>
        <v>2050000</v>
      </c>
      <c r="G54" s="3">
        <f>SUM(G41:G53)</f>
        <v>0</v>
      </c>
      <c r="H54" s="3"/>
      <c r="I54" s="3">
        <f>SUM(I41:I53)</f>
        <v>0</v>
      </c>
      <c r="J54" s="3">
        <f>SUM(J41:J53)</f>
        <v>1490250</v>
      </c>
      <c r="K54" s="3">
        <f>SUM(K41:K53)</f>
        <v>0</v>
      </c>
      <c r="L54" s="3">
        <f>SUM(L41:L53)</f>
        <v>0</v>
      </c>
      <c r="M54" s="3">
        <f>SUM(M41:M53)</f>
        <v>5000000</v>
      </c>
      <c r="N54" s="3"/>
      <c r="O54" s="3">
        <f>SUM(O41:O53)</f>
        <v>300000</v>
      </c>
      <c r="P54" s="3">
        <f>SUM(P41:P53)</f>
        <v>2500000</v>
      </c>
      <c r="Q54" s="3">
        <f>SUM(Q41:Q53)</f>
        <v>300000</v>
      </c>
      <c r="R54" s="3">
        <f>SUM(R41:R53)</f>
        <v>0</v>
      </c>
      <c r="S54" s="3"/>
      <c r="T54" s="3"/>
      <c r="U54" s="3"/>
      <c r="V54" s="3">
        <f>SUM(V41:V53)</f>
        <v>520000</v>
      </c>
      <c r="W54" s="3">
        <f>SUM(W41:W53)</f>
        <v>200000</v>
      </c>
      <c r="X54" s="3">
        <f>SUM(X41:X53)</f>
        <v>1380000</v>
      </c>
      <c r="Y54" s="3">
        <f>SUM(Y41:Y53)</f>
        <v>3200000</v>
      </c>
      <c r="Z54" s="3"/>
    </row>
    <row r="55" spans="1:28" ht="16.5" customHeight="1" x14ac:dyDescent="0.25">
      <c r="B55" s="18"/>
    </row>
    <row r="56" spans="1:28" ht="16.5" customHeight="1" x14ac:dyDescent="0.25">
      <c r="B56" s="18"/>
    </row>
    <row r="57" spans="1:28" ht="16.5" customHeight="1" x14ac:dyDescent="0.25">
      <c r="B57" s="18"/>
    </row>
    <row r="58" spans="1:28" ht="16.5" customHeight="1" x14ac:dyDescent="0.25">
      <c r="A58" s="63" t="s">
        <v>533</v>
      </c>
      <c r="B58" s="18"/>
      <c r="F58" s="378" t="s">
        <v>28</v>
      </c>
      <c r="G58" s="378"/>
      <c r="H58" s="159"/>
      <c r="M58" s="378" t="s">
        <v>77</v>
      </c>
      <c r="N58" s="378"/>
      <c r="O58" s="378"/>
      <c r="P58" s="378" t="s">
        <v>65</v>
      </c>
      <c r="Q58" s="378"/>
      <c r="T58" s="378" t="s">
        <v>90</v>
      </c>
      <c r="U58" s="378"/>
      <c r="V58" s="378"/>
      <c r="W58" s="378"/>
      <c r="X58" s="378"/>
    </row>
    <row r="59" spans="1:28" s="63" customFormat="1" ht="16.5" customHeight="1" x14ac:dyDescent="0.25">
      <c r="A59" s="63" t="s">
        <v>0</v>
      </c>
      <c r="B59" s="63" t="s">
        <v>5</v>
      </c>
      <c r="C59" s="63" t="s">
        <v>27</v>
      </c>
      <c r="D59" s="63" t="s">
        <v>81</v>
      </c>
      <c r="E59" s="151" t="s">
        <v>1359</v>
      </c>
      <c r="F59" s="63" t="s">
        <v>27</v>
      </c>
      <c r="G59" s="63" t="s">
        <v>81</v>
      </c>
      <c r="H59" s="159" t="s">
        <v>281</v>
      </c>
      <c r="I59" s="63" t="s">
        <v>40</v>
      </c>
      <c r="J59" s="63" t="s">
        <v>49</v>
      </c>
      <c r="K59" s="89" t="s">
        <v>643</v>
      </c>
      <c r="L59" s="63" t="s">
        <v>60</v>
      </c>
      <c r="M59" s="63" t="s">
        <v>256</v>
      </c>
      <c r="N59" s="151" t="s">
        <v>673</v>
      </c>
      <c r="O59" s="74" t="s">
        <v>438</v>
      </c>
      <c r="P59" s="63" t="s">
        <v>256</v>
      </c>
      <c r="Q59" s="74" t="s">
        <v>438</v>
      </c>
      <c r="R59" s="63" t="s">
        <v>330</v>
      </c>
      <c r="S59" s="124" t="s">
        <v>917</v>
      </c>
      <c r="T59" s="150" t="s">
        <v>1343</v>
      </c>
      <c r="U59" s="238" t="s">
        <v>613</v>
      </c>
      <c r="V59" s="63" t="s">
        <v>439</v>
      </c>
      <c r="W59" s="11" t="s">
        <v>440</v>
      </c>
      <c r="X59" s="63" t="s">
        <v>537</v>
      </c>
      <c r="Y59" s="63" t="s">
        <v>257</v>
      </c>
      <c r="Z59" s="120" t="s">
        <v>901</v>
      </c>
      <c r="AA59" s="63" t="s">
        <v>536</v>
      </c>
      <c r="AB59" s="183" t="s">
        <v>1645</v>
      </c>
    </row>
    <row r="60" spans="1:28" ht="16.5" customHeight="1" x14ac:dyDescent="0.25">
      <c r="A60" s="25" t="s">
        <v>518</v>
      </c>
      <c r="B60" s="1" t="s">
        <v>2</v>
      </c>
      <c r="C60" s="1">
        <f>C54</f>
        <v>2040955</v>
      </c>
      <c r="D60" s="1">
        <f>D54</f>
        <v>3436.92</v>
      </c>
      <c r="V60" s="1">
        <f>V54</f>
        <v>520000</v>
      </c>
      <c r="W60" s="1">
        <f>W54</f>
        <v>200000</v>
      </c>
      <c r="X60" s="1">
        <f>X54</f>
        <v>1380000</v>
      </c>
      <c r="Y60" s="1">
        <f>Y54</f>
        <v>3200000</v>
      </c>
    </row>
    <row r="61" spans="1:28" ht="16.5" customHeight="1" x14ac:dyDescent="0.25">
      <c r="A61" s="25" t="s">
        <v>523</v>
      </c>
      <c r="B61" s="1" t="s">
        <v>534</v>
      </c>
      <c r="C61" s="1">
        <v>-1650000</v>
      </c>
      <c r="Z61" s="1">
        <v>450000</v>
      </c>
      <c r="AA61" s="1">
        <v>1200000</v>
      </c>
    </row>
    <row r="62" spans="1:28" ht="16.5" customHeight="1" x14ac:dyDescent="0.25">
      <c r="A62" s="25" t="s">
        <v>524</v>
      </c>
      <c r="B62" s="1" t="s">
        <v>535</v>
      </c>
      <c r="C62" s="1">
        <v>-350000</v>
      </c>
      <c r="F62" s="1">
        <v>350000</v>
      </c>
    </row>
    <row r="63" spans="1:28" s="58" customFormat="1" ht="16.5" customHeight="1" x14ac:dyDescent="0.25">
      <c r="A63" s="59" t="s">
        <v>539</v>
      </c>
      <c r="B63" s="58" t="s">
        <v>574</v>
      </c>
      <c r="Y63" s="58">
        <v>-1000000</v>
      </c>
    </row>
    <row r="64" spans="1:28" s="58" customFormat="1" ht="16.5" customHeight="1" x14ac:dyDescent="0.25">
      <c r="A64" s="59" t="s">
        <v>577</v>
      </c>
      <c r="B64" s="58" t="s">
        <v>574</v>
      </c>
      <c r="Y64" s="58">
        <v>-1200000</v>
      </c>
    </row>
    <row r="65" spans="1:28" s="58" customFormat="1" ht="16.5" customHeight="1" x14ac:dyDescent="0.25">
      <c r="A65" s="59" t="s">
        <v>601</v>
      </c>
      <c r="B65" s="58" t="s">
        <v>574</v>
      </c>
      <c r="Y65" s="58">
        <v>-200000</v>
      </c>
    </row>
    <row r="66" spans="1:28" s="3" customFormat="1" ht="16.5" customHeight="1" x14ac:dyDescent="0.25">
      <c r="A66" s="2"/>
      <c r="C66" s="3">
        <f>SUM(C60:C65)</f>
        <v>40955</v>
      </c>
      <c r="D66" s="3">
        <f t="shared" ref="D66:AA66" si="2">SUM(D60:D65)</f>
        <v>3436.92</v>
      </c>
      <c r="F66" s="3">
        <f t="shared" si="2"/>
        <v>350000</v>
      </c>
      <c r="G66" s="3">
        <f t="shared" si="2"/>
        <v>0</v>
      </c>
      <c r="I66" s="3">
        <f t="shared" si="2"/>
        <v>0</v>
      </c>
      <c r="J66" s="3">
        <f t="shared" si="2"/>
        <v>0</v>
      </c>
      <c r="K66" s="3">
        <f t="shared" si="2"/>
        <v>0</v>
      </c>
      <c r="L66" s="3">
        <f t="shared" si="2"/>
        <v>0</v>
      </c>
      <c r="M66" s="3">
        <f t="shared" si="2"/>
        <v>0</v>
      </c>
      <c r="O66" s="3">
        <f t="shared" si="2"/>
        <v>0</v>
      </c>
      <c r="P66" s="3">
        <f t="shared" si="2"/>
        <v>0</v>
      </c>
      <c r="Q66" s="3">
        <f t="shared" si="2"/>
        <v>0</v>
      </c>
      <c r="R66" s="3">
        <f t="shared" si="2"/>
        <v>0</v>
      </c>
      <c r="V66" s="3">
        <f t="shared" si="2"/>
        <v>520000</v>
      </c>
      <c r="W66" s="3">
        <f t="shared" si="2"/>
        <v>200000</v>
      </c>
      <c r="X66" s="3">
        <f t="shared" si="2"/>
        <v>1380000</v>
      </c>
      <c r="Y66" s="3">
        <f t="shared" si="2"/>
        <v>800000</v>
      </c>
      <c r="Z66" s="3">
        <f t="shared" si="2"/>
        <v>450000</v>
      </c>
      <c r="AA66" s="3">
        <f t="shared" si="2"/>
        <v>1200000</v>
      </c>
    </row>
    <row r="67" spans="1:28" ht="16.5" customHeight="1" x14ac:dyDescent="0.25">
      <c r="A67" s="63"/>
    </row>
    <row r="68" spans="1:28" ht="16.5" customHeight="1" x14ac:dyDescent="0.25">
      <c r="A68" s="89" t="s">
        <v>533</v>
      </c>
      <c r="B68" s="18"/>
      <c r="F68" s="378" t="s">
        <v>28</v>
      </c>
      <c r="G68" s="378"/>
      <c r="H68" s="159"/>
      <c r="M68" s="378" t="s">
        <v>77</v>
      </c>
      <c r="N68" s="378"/>
      <c r="O68" s="378"/>
      <c r="P68" s="378" t="s">
        <v>65</v>
      </c>
      <c r="Q68" s="378"/>
      <c r="T68" s="378" t="s">
        <v>90</v>
      </c>
      <c r="U68" s="378"/>
      <c r="V68" s="378"/>
      <c r="W68" s="378"/>
      <c r="X68" s="378"/>
    </row>
    <row r="69" spans="1:28" s="89" customFormat="1" ht="16.5" customHeight="1" x14ac:dyDescent="0.25">
      <c r="A69" s="89" t="s">
        <v>0</v>
      </c>
      <c r="B69" s="89" t="s">
        <v>5</v>
      </c>
      <c r="C69" s="89" t="s">
        <v>27</v>
      </c>
      <c r="D69" s="89" t="s">
        <v>81</v>
      </c>
      <c r="E69" s="151" t="s">
        <v>1359</v>
      </c>
      <c r="F69" s="89" t="s">
        <v>27</v>
      </c>
      <c r="G69" s="89" t="s">
        <v>81</v>
      </c>
      <c r="H69" s="159" t="s">
        <v>281</v>
      </c>
      <c r="I69" s="89" t="s">
        <v>40</v>
      </c>
      <c r="J69" s="89" t="s">
        <v>49</v>
      </c>
      <c r="K69" s="89" t="s">
        <v>643</v>
      </c>
      <c r="L69" s="89" t="s">
        <v>60</v>
      </c>
      <c r="M69" s="89" t="s">
        <v>256</v>
      </c>
      <c r="N69" s="151" t="s">
        <v>673</v>
      </c>
      <c r="O69" s="89" t="s">
        <v>438</v>
      </c>
      <c r="P69" s="89" t="s">
        <v>256</v>
      </c>
      <c r="Q69" s="89" t="s">
        <v>438</v>
      </c>
      <c r="R69" s="89" t="s">
        <v>330</v>
      </c>
      <c r="S69" s="124" t="s">
        <v>917</v>
      </c>
      <c r="T69" s="150" t="s">
        <v>1343</v>
      </c>
      <c r="U69" s="238" t="s">
        <v>613</v>
      </c>
      <c r="V69" s="89" t="s">
        <v>439</v>
      </c>
      <c r="W69" s="11" t="s">
        <v>440</v>
      </c>
      <c r="X69" s="89" t="s">
        <v>537</v>
      </c>
      <c r="Y69" s="89" t="s">
        <v>257</v>
      </c>
      <c r="Z69" s="120" t="s">
        <v>901</v>
      </c>
      <c r="AA69" s="89" t="s">
        <v>536</v>
      </c>
      <c r="AB69" s="183" t="s">
        <v>1645</v>
      </c>
    </row>
    <row r="70" spans="1:28" ht="16.5" customHeight="1" x14ac:dyDescent="0.25">
      <c r="A70" s="25" t="s">
        <v>639</v>
      </c>
      <c r="B70" s="1" t="s">
        <v>2</v>
      </c>
      <c r="C70" s="1">
        <f>C66</f>
        <v>40955</v>
      </c>
      <c r="D70" s="1">
        <f>D66</f>
        <v>3436.92</v>
      </c>
      <c r="V70" s="1">
        <f t="shared" ref="V70:AA70" si="3">V66</f>
        <v>520000</v>
      </c>
      <c r="W70" s="1">
        <f t="shared" si="3"/>
        <v>200000</v>
      </c>
      <c r="X70" s="1">
        <f t="shared" si="3"/>
        <v>1380000</v>
      </c>
      <c r="Y70" s="1">
        <f t="shared" si="3"/>
        <v>800000</v>
      </c>
      <c r="Z70" s="1">
        <f t="shared" si="3"/>
        <v>450000</v>
      </c>
      <c r="AA70" s="1">
        <f t="shared" si="3"/>
        <v>1200000</v>
      </c>
    </row>
    <row r="71" spans="1:28" ht="16.5" customHeight="1" x14ac:dyDescent="0.25">
      <c r="A71" s="25" t="s">
        <v>661</v>
      </c>
      <c r="B71" s="58" t="s">
        <v>574</v>
      </c>
      <c r="Y71" s="1">
        <v>-100000</v>
      </c>
    </row>
    <row r="72" spans="1:28" ht="16.5" customHeight="1" x14ac:dyDescent="0.25">
      <c r="A72" s="97" t="s">
        <v>671</v>
      </c>
      <c r="B72" s="58" t="s">
        <v>574</v>
      </c>
      <c r="Y72" s="1">
        <v>-200000</v>
      </c>
    </row>
    <row r="73" spans="1:28" ht="16.5" customHeight="1" x14ac:dyDescent="0.25">
      <c r="A73" s="123" t="s">
        <v>891</v>
      </c>
      <c r="B73" s="58" t="s">
        <v>942</v>
      </c>
      <c r="Y73" s="1">
        <f>-152500-345000</f>
        <v>-497500</v>
      </c>
    </row>
    <row r="74" spans="1:28" ht="16.5" customHeight="1" x14ac:dyDescent="0.25">
      <c r="C74" s="1">
        <f>SUM(C70:C73)</f>
        <v>40955</v>
      </c>
      <c r="D74" s="1">
        <f t="shared" ref="D74:AA74" si="4">SUM(D70:D73)</f>
        <v>3436.92</v>
      </c>
      <c r="F74" s="1">
        <f t="shared" si="4"/>
        <v>0</v>
      </c>
      <c r="G74" s="1">
        <f t="shared" si="4"/>
        <v>0</v>
      </c>
      <c r="I74" s="1">
        <f t="shared" si="4"/>
        <v>0</v>
      </c>
      <c r="J74" s="1">
        <f t="shared" si="4"/>
        <v>0</v>
      </c>
      <c r="K74" s="1">
        <f t="shared" si="4"/>
        <v>0</v>
      </c>
      <c r="L74" s="1">
        <f t="shared" si="4"/>
        <v>0</v>
      </c>
      <c r="M74" s="1">
        <f t="shared" si="4"/>
        <v>0</v>
      </c>
      <c r="O74" s="1">
        <f t="shared" si="4"/>
        <v>0</v>
      </c>
      <c r="P74" s="1">
        <f t="shared" si="4"/>
        <v>0</v>
      </c>
      <c r="Q74" s="1">
        <f t="shared" si="4"/>
        <v>0</v>
      </c>
      <c r="R74" s="1">
        <f t="shared" si="4"/>
        <v>0</v>
      </c>
      <c r="V74" s="1">
        <f t="shared" si="4"/>
        <v>520000</v>
      </c>
      <c r="W74" s="1">
        <f t="shared" si="4"/>
        <v>200000</v>
      </c>
      <c r="X74" s="1">
        <f t="shared" si="4"/>
        <v>1380000</v>
      </c>
      <c r="Y74" s="1">
        <f t="shared" si="4"/>
        <v>2500</v>
      </c>
      <c r="Z74" s="1">
        <f t="shared" si="4"/>
        <v>450000</v>
      </c>
      <c r="AA74" s="1">
        <f t="shared" si="4"/>
        <v>1200000</v>
      </c>
    </row>
    <row r="78" spans="1:28" ht="16.5" customHeight="1" x14ac:dyDescent="0.25">
      <c r="A78" s="123" t="s">
        <v>533</v>
      </c>
      <c r="B78" s="18"/>
      <c r="F78" s="378" t="s">
        <v>28</v>
      </c>
      <c r="G78" s="378"/>
      <c r="H78" s="159"/>
      <c r="M78" s="378" t="s">
        <v>77</v>
      </c>
      <c r="N78" s="378"/>
      <c r="O78" s="378"/>
      <c r="P78" s="378" t="s">
        <v>65</v>
      </c>
      <c r="Q78" s="378"/>
      <c r="T78" s="378" t="s">
        <v>90</v>
      </c>
      <c r="U78" s="378"/>
      <c r="V78" s="378"/>
      <c r="W78" s="378"/>
      <c r="X78" s="378"/>
    </row>
    <row r="79" spans="1:28" s="123" customFormat="1" ht="16.5" customHeight="1" x14ac:dyDescent="0.25">
      <c r="A79" s="123" t="s">
        <v>0</v>
      </c>
      <c r="B79" s="123" t="s">
        <v>5</v>
      </c>
      <c r="C79" s="123" t="s">
        <v>27</v>
      </c>
      <c r="D79" s="123" t="s">
        <v>81</v>
      </c>
      <c r="E79" s="151" t="s">
        <v>1359</v>
      </c>
      <c r="F79" s="123" t="s">
        <v>27</v>
      </c>
      <c r="G79" s="123" t="s">
        <v>81</v>
      </c>
      <c r="H79" s="159" t="s">
        <v>281</v>
      </c>
      <c r="I79" s="123" t="s">
        <v>40</v>
      </c>
      <c r="J79" s="123" t="s">
        <v>49</v>
      </c>
      <c r="K79" s="123" t="s">
        <v>643</v>
      </c>
      <c r="L79" s="123" t="s">
        <v>60</v>
      </c>
      <c r="M79" s="123" t="s">
        <v>256</v>
      </c>
      <c r="N79" s="151" t="s">
        <v>673</v>
      </c>
      <c r="O79" s="123" t="s">
        <v>438</v>
      </c>
      <c r="P79" s="123" t="s">
        <v>256</v>
      </c>
      <c r="Q79" s="123" t="s">
        <v>438</v>
      </c>
      <c r="R79" s="123" t="s">
        <v>330</v>
      </c>
      <c r="S79" s="124" t="s">
        <v>917</v>
      </c>
      <c r="T79" s="150" t="s">
        <v>1343</v>
      </c>
      <c r="U79" s="238" t="s">
        <v>613</v>
      </c>
      <c r="V79" s="123" t="s">
        <v>439</v>
      </c>
      <c r="W79" s="11" t="s">
        <v>440</v>
      </c>
      <c r="X79" s="123" t="s">
        <v>537</v>
      </c>
      <c r="Y79" s="123" t="s">
        <v>257</v>
      </c>
      <c r="Z79" s="123" t="s">
        <v>901</v>
      </c>
      <c r="AA79" s="123" t="s">
        <v>536</v>
      </c>
      <c r="AB79" s="183" t="s">
        <v>1645</v>
      </c>
    </row>
    <row r="80" spans="1:28" ht="16.5" customHeight="1" x14ac:dyDescent="0.25">
      <c r="A80" s="25" t="s">
        <v>908</v>
      </c>
      <c r="B80" s="1" t="s">
        <v>2</v>
      </c>
      <c r="C80" s="1">
        <f>C74</f>
        <v>40955</v>
      </c>
      <c r="D80" s="1">
        <f>D74</f>
        <v>3436.92</v>
      </c>
      <c r="V80" s="1">
        <f t="shared" ref="V80:AA80" si="5">V74</f>
        <v>520000</v>
      </c>
      <c r="W80" s="1">
        <f t="shared" si="5"/>
        <v>200000</v>
      </c>
      <c r="X80" s="1">
        <f t="shared" si="5"/>
        <v>1380000</v>
      </c>
      <c r="Y80" s="1">
        <f t="shared" si="5"/>
        <v>2500</v>
      </c>
      <c r="Z80" s="1">
        <f t="shared" si="5"/>
        <v>450000</v>
      </c>
      <c r="AA80" s="1">
        <f t="shared" si="5"/>
        <v>1200000</v>
      </c>
    </row>
    <row r="81" spans="1:27" ht="16.5" customHeight="1" x14ac:dyDescent="0.25">
      <c r="A81" s="25" t="s">
        <v>913</v>
      </c>
      <c r="B81" s="1" t="s">
        <v>916</v>
      </c>
      <c r="C81" s="1">
        <v>4103966</v>
      </c>
      <c r="S81" s="1">
        <v>4103966</v>
      </c>
    </row>
    <row r="82" spans="1:27" ht="16.5" customHeight="1" x14ac:dyDescent="0.25">
      <c r="A82" s="1" t="s">
        <v>920</v>
      </c>
      <c r="B82" s="18" t="s">
        <v>921</v>
      </c>
      <c r="C82" s="1">
        <v>-1300000</v>
      </c>
      <c r="F82" s="1">
        <v>1300000</v>
      </c>
    </row>
    <row r="83" spans="1:27" ht="16.5" customHeight="1" x14ac:dyDescent="0.25">
      <c r="A83" s="1" t="s">
        <v>920</v>
      </c>
      <c r="B83" s="1" t="s">
        <v>936</v>
      </c>
      <c r="C83" s="1">
        <v>-800000</v>
      </c>
      <c r="AA83" s="1">
        <v>800000</v>
      </c>
    </row>
    <row r="84" spans="1:27" ht="16.5" customHeight="1" x14ac:dyDescent="0.25">
      <c r="A84" s="125" t="s">
        <v>939</v>
      </c>
      <c r="B84" s="18" t="s">
        <v>943</v>
      </c>
      <c r="C84" s="1">
        <v>490216</v>
      </c>
      <c r="R84" s="1">
        <v>490216</v>
      </c>
    </row>
    <row r="85" spans="1:27" ht="16.5" customHeight="1" x14ac:dyDescent="0.25">
      <c r="A85" s="64" t="s">
        <v>944</v>
      </c>
      <c r="B85" s="18" t="s">
        <v>945</v>
      </c>
      <c r="C85" s="1">
        <v>-500000</v>
      </c>
      <c r="F85" s="1">
        <v>500000</v>
      </c>
    </row>
    <row r="86" spans="1:27" ht="16.5" customHeight="1" x14ac:dyDescent="0.25">
      <c r="A86" s="135" t="s">
        <v>1093</v>
      </c>
      <c r="B86" s="18" t="s">
        <v>1095</v>
      </c>
      <c r="C86" s="1">
        <v>-650000</v>
      </c>
      <c r="F86" s="1">
        <v>650000</v>
      </c>
    </row>
    <row r="87" spans="1:27" ht="16.5" customHeight="1" x14ac:dyDescent="0.25">
      <c r="A87" s="141" t="s">
        <v>1128</v>
      </c>
      <c r="B87" s="18" t="s">
        <v>1131</v>
      </c>
      <c r="C87" s="1">
        <v>-500000</v>
      </c>
      <c r="F87" s="1">
        <v>500000</v>
      </c>
    </row>
    <row r="88" spans="1:27" ht="16.5" customHeight="1" x14ac:dyDescent="0.25">
      <c r="A88" s="65" t="s">
        <v>1142</v>
      </c>
      <c r="B88" s="18" t="s">
        <v>1143</v>
      </c>
      <c r="C88" s="1">
        <v>-500000</v>
      </c>
      <c r="F88" s="1">
        <v>500000</v>
      </c>
    </row>
    <row r="89" spans="1:27" ht="16.5" customHeight="1" x14ac:dyDescent="0.25">
      <c r="A89" s="1" t="s">
        <v>1294</v>
      </c>
      <c r="B89" s="18" t="s">
        <v>1295</v>
      </c>
      <c r="C89" s="1">
        <v>-275000</v>
      </c>
      <c r="F89" s="1">
        <v>275000</v>
      </c>
    </row>
    <row r="90" spans="1:27" ht="16.5" customHeight="1" x14ac:dyDescent="0.25">
      <c r="A90" s="1" t="s">
        <v>1303</v>
      </c>
      <c r="B90" s="18" t="s">
        <v>672</v>
      </c>
      <c r="C90" s="1">
        <v>900000</v>
      </c>
      <c r="N90" s="1">
        <v>900000</v>
      </c>
    </row>
    <row r="91" spans="1:27" ht="16.5" customHeight="1" x14ac:dyDescent="0.25">
      <c r="A91" s="1" t="s">
        <v>1341</v>
      </c>
      <c r="B91" s="1" t="s">
        <v>1342</v>
      </c>
      <c r="C91" s="1">
        <v>7500000</v>
      </c>
      <c r="S91" s="1">
        <v>7500000</v>
      </c>
    </row>
    <row r="92" spans="1:27" ht="16.5" customHeight="1" x14ac:dyDescent="0.25">
      <c r="A92" s="1" t="s">
        <v>1341</v>
      </c>
      <c r="B92" s="18" t="s">
        <v>1344</v>
      </c>
      <c r="C92" s="1">
        <v>-1075000</v>
      </c>
      <c r="T92" s="1">
        <v>1075000</v>
      </c>
    </row>
    <row r="93" spans="1:27" ht="16.5" customHeight="1" x14ac:dyDescent="0.25">
      <c r="A93" s="1" t="s">
        <v>1341</v>
      </c>
      <c r="B93" s="18" t="s">
        <v>1345</v>
      </c>
      <c r="C93" s="1">
        <v>-500000</v>
      </c>
      <c r="F93" s="1">
        <v>500000</v>
      </c>
    </row>
    <row r="94" spans="1:27" s="3" customFormat="1" ht="16.5" customHeight="1" x14ac:dyDescent="0.25">
      <c r="C94" s="3">
        <f>SUM(C80:C93)</f>
        <v>6935137</v>
      </c>
      <c r="D94" s="3">
        <f t="shared" ref="D94:AA94" si="6">SUM(D80:D93)</f>
        <v>3436.92</v>
      </c>
      <c r="E94" s="3">
        <f t="shared" si="6"/>
        <v>0</v>
      </c>
      <c r="F94" s="3">
        <f t="shared" si="6"/>
        <v>4225000</v>
      </c>
      <c r="G94" s="3">
        <f t="shared" si="6"/>
        <v>0</v>
      </c>
      <c r="I94" s="3">
        <f t="shared" si="6"/>
        <v>0</v>
      </c>
      <c r="J94" s="3">
        <f t="shared" si="6"/>
        <v>0</v>
      </c>
      <c r="K94" s="3">
        <f t="shared" si="6"/>
        <v>0</v>
      </c>
      <c r="L94" s="3">
        <f t="shared" si="6"/>
        <v>0</v>
      </c>
      <c r="M94" s="3">
        <f t="shared" si="6"/>
        <v>0</v>
      </c>
      <c r="N94" s="3">
        <f t="shared" si="6"/>
        <v>900000</v>
      </c>
      <c r="O94" s="3">
        <f t="shared" si="6"/>
        <v>0</v>
      </c>
      <c r="P94" s="3">
        <f t="shared" si="6"/>
        <v>0</v>
      </c>
      <c r="Q94" s="3">
        <f t="shared" si="6"/>
        <v>0</v>
      </c>
      <c r="R94" s="3">
        <f t="shared" si="6"/>
        <v>490216</v>
      </c>
      <c r="S94" s="3">
        <f t="shared" si="6"/>
        <v>11603966</v>
      </c>
      <c r="T94" s="3">
        <f t="shared" si="6"/>
        <v>1075000</v>
      </c>
      <c r="V94" s="3">
        <f t="shared" si="6"/>
        <v>520000</v>
      </c>
      <c r="W94" s="3">
        <f t="shared" si="6"/>
        <v>200000</v>
      </c>
      <c r="X94" s="3">
        <f t="shared" si="6"/>
        <v>1380000</v>
      </c>
      <c r="Y94" s="3">
        <f t="shared" si="6"/>
        <v>2500</v>
      </c>
      <c r="Z94" s="3">
        <f t="shared" si="6"/>
        <v>450000</v>
      </c>
      <c r="AA94" s="3">
        <f t="shared" si="6"/>
        <v>2000000</v>
      </c>
    </row>
    <row r="97" spans="1:28" ht="16.5" customHeight="1" x14ac:dyDescent="0.25">
      <c r="A97" s="151"/>
      <c r="F97" s="378" t="s">
        <v>28</v>
      </c>
      <c r="G97" s="378"/>
      <c r="H97" s="159"/>
      <c r="M97" s="378" t="s">
        <v>77</v>
      </c>
      <c r="N97" s="378"/>
      <c r="O97" s="378"/>
      <c r="P97" s="378" t="s">
        <v>65</v>
      </c>
      <c r="Q97" s="378"/>
      <c r="T97" s="378" t="s">
        <v>90</v>
      </c>
      <c r="U97" s="378"/>
      <c r="V97" s="378"/>
      <c r="W97" s="378"/>
      <c r="X97" s="378"/>
    </row>
    <row r="98" spans="1:28" s="151" customFormat="1" ht="16.5" customHeight="1" x14ac:dyDescent="0.25">
      <c r="A98" s="151" t="s">
        <v>0</v>
      </c>
      <c r="B98" s="151" t="s">
        <v>5</v>
      </c>
      <c r="C98" s="151" t="s">
        <v>27</v>
      </c>
      <c r="D98" s="151" t="s">
        <v>81</v>
      </c>
      <c r="E98" s="151" t="s">
        <v>1359</v>
      </c>
      <c r="F98" s="151" t="s">
        <v>27</v>
      </c>
      <c r="G98" s="151" t="s">
        <v>81</v>
      </c>
      <c r="H98" s="159" t="s">
        <v>281</v>
      </c>
      <c r="I98" s="151" t="s">
        <v>40</v>
      </c>
      <c r="J98" s="151" t="s">
        <v>49</v>
      </c>
      <c r="K98" s="151" t="s">
        <v>643</v>
      </c>
      <c r="L98" s="151" t="s">
        <v>60</v>
      </c>
      <c r="M98" s="151" t="s">
        <v>256</v>
      </c>
      <c r="N98" s="151" t="s">
        <v>673</v>
      </c>
      <c r="O98" s="151" t="s">
        <v>438</v>
      </c>
      <c r="P98" s="151" t="s">
        <v>256</v>
      </c>
      <c r="Q98" s="151" t="s">
        <v>438</v>
      </c>
      <c r="R98" s="151" t="s">
        <v>330</v>
      </c>
      <c r="S98" s="151" t="s">
        <v>917</v>
      </c>
      <c r="T98" s="151" t="s">
        <v>1343</v>
      </c>
      <c r="U98" s="238" t="s">
        <v>613</v>
      </c>
      <c r="V98" s="151" t="s">
        <v>314</v>
      </c>
      <c r="W98" s="11" t="s">
        <v>329</v>
      </c>
      <c r="X98" s="151" t="s">
        <v>537</v>
      </c>
      <c r="Y98" s="151" t="s">
        <v>257</v>
      </c>
      <c r="Z98" s="151" t="s">
        <v>901</v>
      </c>
      <c r="AA98" s="151" t="s">
        <v>536</v>
      </c>
      <c r="AB98" s="183" t="s">
        <v>1645</v>
      </c>
    </row>
    <row r="99" spans="1:28" ht="16.5" customHeight="1" x14ac:dyDescent="0.25">
      <c r="A99" s="151" t="s">
        <v>1351</v>
      </c>
      <c r="B99" s="1" t="s">
        <v>2</v>
      </c>
      <c r="C99" s="1">
        <f>C94</f>
        <v>6935137</v>
      </c>
      <c r="D99" s="1">
        <f>D94</f>
        <v>3436.92</v>
      </c>
      <c r="S99" s="1">
        <f>S94</f>
        <v>11603966</v>
      </c>
      <c r="T99" s="1">
        <f>T94</f>
        <v>1075000</v>
      </c>
      <c r="V99" s="1">
        <f t="shared" ref="V99:AA99" si="7">V94</f>
        <v>520000</v>
      </c>
      <c r="W99" s="1">
        <f t="shared" si="7"/>
        <v>200000</v>
      </c>
      <c r="X99" s="1">
        <f t="shared" si="7"/>
        <v>1380000</v>
      </c>
      <c r="Y99" s="1">
        <f t="shared" si="7"/>
        <v>2500</v>
      </c>
      <c r="Z99" s="1">
        <f t="shared" si="7"/>
        <v>450000</v>
      </c>
      <c r="AA99" s="1">
        <f t="shared" si="7"/>
        <v>2000000</v>
      </c>
    </row>
    <row r="100" spans="1:28" ht="16.5" customHeight="1" x14ac:dyDescent="0.25">
      <c r="A100" s="151" t="s">
        <v>1353</v>
      </c>
      <c r="B100" s="18" t="s">
        <v>1355</v>
      </c>
      <c r="C100" s="1">
        <v>-1250000</v>
      </c>
      <c r="F100" s="1">
        <v>1250000</v>
      </c>
    </row>
    <row r="101" spans="1:28" ht="16.5" customHeight="1" x14ac:dyDescent="0.25">
      <c r="A101" s="151" t="s">
        <v>1353</v>
      </c>
      <c r="B101" s="1" t="s">
        <v>1360</v>
      </c>
      <c r="C101" s="1">
        <v>-600000</v>
      </c>
      <c r="AA101" s="1">
        <v>600000</v>
      </c>
    </row>
    <row r="102" spans="1:28" ht="16.5" customHeight="1" x14ac:dyDescent="0.25">
      <c r="A102" s="151" t="s">
        <v>1353</v>
      </c>
      <c r="B102" s="1" t="s">
        <v>1357</v>
      </c>
      <c r="C102" s="1">
        <v>-900000</v>
      </c>
      <c r="P102" s="1">
        <v>900000</v>
      </c>
    </row>
    <row r="103" spans="1:28" ht="16.5" customHeight="1" x14ac:dyDescent="0.25">
      <c r="A103" s="151" t="s">
        <v>1353</v>
      </c>
      <c r="B103" s="18" t="s">
        <v>1358</v>
      </c>
      <c r="C103" s="1">
        <v>-286250</v>
      </c>
      <c r="T103" s="1">
        <v>286250</v>
      </c>
    </row>
    <row r="104" spans="1:28" ht="16.5" customHeight="1" x14ac:dyDescent="0.25">
      <c r="A104" s="153" t="s">
        <v>1364</v>
      </c>
      <c r="B104" s="18" t="s">
        <v>672</v>
      </c>
      <c r="C104" s="1">
        <v>1900000</v>
      </c>
      <c r="N104" s="1">
        <v>1900000</v>
      </c>
    </row>
    <row r="105" spans="1:28" ht="16.5" customHeight="1" x14ac:dyDescent="0.25">
      <c r="A105" s="153" t="s">
        <v>1364</v>
      </c>
      <c r="B105" s="1" t="s">
        <v>1365</v>
      </c>
      <c r="C105" s="1">
        <v>-3100000</v>
      </c>
      <c r="P105" s="1">
        <v>3100000</v>
      </c>
    </row>
    <row r="106" spans="1:28" ht="16.5" customHeight="1" x14ac:dyDescent="0.25">
      <c r="A106" s="155" t="s">
        <v>1375</v>
      </c>
      <c r="B106" s="18" t="s">
        <v>1376</v>
      </c>
      <c r="C106" s="1">
        <v>-600000</v>
      </c>
      <c r="F106" s="1">
        <v>600000</v>
      </c>
    </row>
    <row r="107" spans="1:28" ht="16.5" customHeight="1" x14ac:dyDescent="0.25">
      <c r="A107" s="156" t="s">
        <v>1431</v>
      </c>
      <c r="B107" s="18" t="s">
        <v>1432</v>
      </c>
      <c r="C107" s="1">
        <v>-700000</v>
      </c>
      <c r="F107" s="1">
        <v>700000</v>
      </c>
    </row>
    <row r="108" spans="1:28" ht="16.5" customHeight="1" x14ac:dyDescent="0.25">
      <c r="A108" s="156" t="s">
        <v>1431</v>
      </c>
      <c r="B108" s="1" t="s">
        <v>1494</v>
      </c>
      <c r="C108" s="1">
        <v>1500000</v>
      </c>
      <c r="S108" s="1">
        <v>1500000</v>
      </c>
    </row>
    <row r="109" spans="1:28" ht="16.5" customHeight="1" x14ac:dyDescent="0.25">
      <c r="A109" s="159" t="s">
        <v>1441</v>
      </c>
      <c r="B109" s="18" t="s">
        <v>1449</v>
      </c>
      <c r="C109" s="1">
        <v>-1100000</v>
      </c>
      <c r="F109" s="1">
        <v>1100000</v>
      </c>
    </row>
    <row r="110" spans="1:28" ht="16.5" customHeight="1" x14ac:dyDescent="0.25">
      <c r="A110" s="157" t="s">
        <v>1441</v>
      </c>
      <c r="B110" s="1" t="s">
        <v>1521</v>
      </c>
      <c r="C110" s="1">
        <v>-306792</v>
      </c>
      <c r="H110" s="1">
        <v>306792</v>
      </c>
    </row>
    <row r="111" spans="1:28" ht="16.5" customHeight="1" x14ac:dyDescent="0.25">
      <c r="A111" s="25" t="s">
        <v>1504</v>
      </c>
      <c r="B111" s="1" t="s">
        <v>1518</v>
      </c>
      <c r="C111" s="1">
        <v>4000000</v>
      </c>
      <c r="S111" s="1">
        <v>4000000</v>
      </c>
    </row>
    <row r="112" spans="1:28" ht="16.5" customHeight="1" x14ac:dyDescent="0.25">
      <c r="A112" s="166" t="s">
        <v>1520</v>
      </c>
      <c r="B112" s="18" t="s">
        <v>1519</v>
      </c>
      <c r="C112" s="1">
        <v>-2300000</v>
      </c>
      <c r="F112" s="1">
        <v>2300000</v>
      </c>
    </row>
    <row r="113" spans="1:28" ht="16.5" customHeight="1" x14ac:dyDescent="0.25">
      <c r="A113" s="166" t="s">
        <v>1520</v>
      </c>
      <c r="B113" s="1" t="s">
        <v>1522</v>
      </c>
      <c r="C113" s="1">
        <v>-400000</v>
      </c>
      <c r="Q113" s="1">
        <v>400000</v>
      </c>
    </row>
    <row r="114" spans="1:28" ht="16.5" customHeight="1" x14ac:dyDescent="0.25">
      <c r="A114" s="166" t="s">
        <v>1520</v>
      </c>
      <c r="B114" s="18" t="s">
        <v>1523</v>
      </c>
      <c r="C114" s="1">
        <v>-1073200</v>
      </c>
      <c r="T114" s="1">
        <v>1073200</v>
      </c>
    </row>
    <row r="115" spans="1:28" ht="16.5" customHeight="1" x14ac:dyDescent="0.25">
      <c r="A115" s="166" t="s">
        <v>1520</v>
      </c>
      <c r="B115" s="1" t="s">
        <v>1524</v>
      </c>
      <c r="C115" s="1">
        <v>-600000</v>
      </c>
      <c r="AA115" s="1">
        <v>600000</v>
      </c>
    </row>
    <row r="116" spans="1:28" ht="16.5" customHeight="1" x14ac:dyDescent="0.25">
      <c r="A116" s="166" t="s">
        <v>1535</v>
      </c>
      <c r="B116" s="18" t="s">
        <v>1536</v>
      </c>
      <c r="C116" s="1">
        <v>-600000</v>
      </c>
      <c r="F116" s="1">
        <v>600000</v>
      </c>
    </row>
    <row r="117" spans="1:28" ht="16.5" customHeight="1" x14ac:dyDescent="0.25">
      <c r="C117" s="3">
        <f t="shared" ref="C117:T117" si="8">SUM(C99:C116)</f>
        <v>518895</v>
      </c>
      <c r="D117" s="3">
        <f t="shared" si="8"/>
        <v>3436.92</v>
      </c>
      <c r="E117" s="3">
        <f t="shared" si="8"/>
        <v>0</v>
      </c>
      <c r="F117" s="3">
        <f t="shared" si="8"/>
        <v>6550000</v>
      </c>
      <c r="G117" s="3">
        <f t="shared" si="8"/>
        <v>0</v>
      </c>
      <c r="H117" s="3">
        <f t="shared" si="8"/>
        <v>306792</v>
      </c>
      <c r="I117" s="3">
        <f t="shared" si="8"/>
        <v>0</v>
      </c>
      <c r="J117" s="3">
        <f t="shared" si="8"/>
        <v>0</v>
      </c>
      <c r="K117" s="3">
        <f t="shared" si="8"/>
        <v>0</v>
      </c>
      <c r="L117" s="3">
        <f t="shared" si="8"/>
        <v>0</v>
      </c>
      <c r="M117" s="3">
        <f t="shared" si="8"/>
        <v>0</v>
      </c>
      <c r="N117" s="3">
        <f t="shared" si="8"/>
        <v>1900000</v>
      </c>
      <c r="O117" s="3">
        <f t="shared" si="8"/>
        <v>0</v>
      </c>
      <c r="P117" s="3">
        <f t="shared" si="8"/>
        <v>4000000</v>
      </c>
      <c r="Q117" s="3">
        <f t="shared" si="8"/>
        <v>400000</v>
      </c>
      <c r="R117" s="3">
        <f t="shared" si="8"/>
        <v>0</v>
      </c>
      <c r="S117" s="3">
        <f t="shared" si="8"/>
        <v>17103966</v>
      </c>
      <c r="T117" s="3">
        <f t="shared" si="8"/>
        <v>2434450</v>
      </c>
      <c r="U117" s="3"/>
      <c r="V117" s="3">
        <f t="shared" ref="V117:AA117" si="9">SUM(V99:V116)</f>
        <v>520000</v>
      </c>
      <c r="W117" s="3">
        <f t="shared" si="9"/>
        <v>200000</v>
      </c>
      <c r="X117" s="3">
        <f t="shared" si="9"/>
        <v>1380000</v>
      </c>
      <c r="Y117" s="3">
        <f t="shared" si="9"/>
        <v>2500</v>
      </c>
      <c r="Z117" s="3">
        <f t="shared" si="9"/>
        <v>450000</v>
      </c>
      <c r="AA117" s="3">
        <f t="shared" si="9"/>
        <v>3200000</v>
      </c>
    </row>
    <row r="118" spans="1:28" ht="16.5" customHeight="1" x14ac:dyDescent="0.25">
      <c r="A118" s="170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8" ht="16.5" customHeight="1" x14ac:dyDescent="0.25">
      <c r="A119" s="170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1" spans="1:28" ht="16.5" customHeight="1" x14ac:dyDescent="0.25">
      <c r="A121" s="170"/>
      <c r="F121" s="378" t="s">
        <v>28</v>
      </c>
      <c r="G121" s="378"/>
      <c r="H121" s="170"/>
      <c r="M121" s="378" t="s">
        <v>77</v>
      </c>
      <c r="N121" s="378"/>
      <c r="O121" s="378"/>
      <c r="P121" s="378" t="s">
        <v>65</v>
      </c>
      <c r="Q121" s="378"/>
      <c r="T121" s="378" t="s">
        <v>90</v>
      </c>
      <c r="U121" s="378"/>
      <c r="V121" s="378"/>
      <c r="W121" s="378"/>
      <c r="X121" s="378"/>
    </row>
    <row r="122" spans="1:28" s="170" customFormat="1" ht="16.5" customHeight="1" x14ac:dyDescent="0.25">
      <c r="A122" s="170" t="s">
        <v>0</v>
      </c>
      <c r="B122" s="170" t="s">
        <v>5</v>
      </c>
      <c r="C122" s="170" t="s">
        <v>27</v>
      </c>
      <c r="D122" s="170" t="s">
        <v>81</v>
      </c>
      <c r="E122" s="170" t="s">
        <v>1359</v>
      </c>
      <c r="F122" s="170" t="s">
        <v>27</v>
      </c>
      <c r="G122" s="170" t="s">
        <v>81</v>
      </c>
      <c r="H122" s="170" t="s">
        <v>281</v>
      </c>
      <c r="I122" s="170" t="s">
        <v>40</v>
      </c>
      <c r="J122" s="170" t="s">
        <v>49</v>
      </c>
      <c r="K122" s="170" t="s">
        <v>643</v>
      </c>
      <c r="L122" s="170" t="s">
        <v>60</v>
      </c>
      <c r="M122" s="170" t="s">
        <v>256</v>
      </c>
      <c r="N122" s="170" t="s">
        <v>673</v>
      </c>
      <c r="O122" s="170" t="s">
        <v>438</v>
      </c>
      <c r="P122" s="170" t="s">
        <v>256</v>
      </c>
      <c r="Q122" s="170" t="s">
        <v>438</v>
      </c>
      <c r="R122" s="170" t="s">
        <v>330</v>
      </c>
      <c r="S122" s="170" t="s">
        <v>917</v>
      </c>
      <c r="T122" s="170" t="s">
        <v>1343</v>
      </c>
      <c r="U122" s="238" t="s">
        <v>613</v>
      </c>
      <c r="V122" s="170" t="s">
        <v>314</v>
      </c>
      <c r="W122" s="11" t="s">
        <v>329</v>
      </c>
      <c r="X122" s="170" t="s">
        <v>537</v>
      </c>
      <c r="Y122" s="170" t="s">
        <v>257</v>
      </c>
      <c r="Z122" s="170" t="s">
        <v>901</v>
      </c>
      <c r="AA122" s="170" t="s">
        <v>536</v>
      </c>
      <c r="AB122" s="183" t="s">
        <v>1645</v>
      </c>
    </row>
    <row r="123" spans="1:28" ht="16.5" customHeight="1" x14ac:dyDescent="0.25">
      <c r="A123" s="25" t="s">
        <v>1553</v>
      </c>
      <c r="B123" s="1" t="s">
        <v>2</v>
      </c>
      <c r="C123" s="1">
        <f>C117</f>
        <v>518895</v>
      </c>
      <c r="D123" s="1">
        <f>D117</f>
        <v>3436.92</v>
      </c>
      <c r="S123" s="1">
        <f t="shared" ref="S123:AA123" si="10">S117</f>
        <v>17103966</v>
      </c>
      <c r="T123" s="1">
        <f t="shared" si="10"/>
        <v>2434450</v>
      </c>
      <c r="V123" s="1">
        <f t="shared" si="10"/>
        <v>520000</v>
      </c>
      <c r="W123" s="1">
        <f t="shared" si="10"/>
        <v>200000</v>
      </c>
      <c r="X123" s="1">
        <f t="shared" si="10"/>
        <v>1380000</v>
      </c>
      <c r="Y123" s="1">
        <f t="shared" si="10"/>
        <v>2500</v>
      </c>
      <c r="Z123" s="1">
        <f t="shared" si="10"/>
        <v>450000</v>
      </c>
      <c r="AA123" s="1">
        <f t="shared" si="10"/>
        <v>3200000</v>
      </c>
    </row>
    <row r="124" spans="1:28" ht="16.5" customHeight="1" x14ac:dyDescent="0.25">
      <c r="A124" s="170" t="s">
        <v>1553</v>
      </c>
      <c r="B124" s="1" t="s">
        <v>1554</v>
      </c>
      <c r="C124" s="1">
        <v>3500000</v>
      </c>
      <c r="S124" s="1">
        <v>3500000</v>
      </c>
    </row>
    <row r="125" spans="1:28" ht="16.5" customHeight="1" x14ac:dyDescent="0.25">
      <c r="A125" s="25" t="s">
        <v>1563</v>
      </c>
      <c r="B125" s="18" t="s">
        <v>1556</v>
      </c>
      <c r="C125" s="1">
        <v>-700000</v>
      </c>
      <c r="F125" s="1">
        <v>700000</v>
      </c>
    </row>
    <row r="126" spans="1:28" ht="16.5" customHeight="1" x14ac:dyDescent="0.25">
      <c r="A126" s="176" t="s">
        <v>1579</v>
      </c>
      <c r="B126" s="18" t="s">
        <v>1578</v>
      </c>
      <c r="C126" s="1">
        <v>-1000000</v>
      </c>
      <c r="F126" s="1">
        <v>1000000</v>
      </c>
    </row>
    <row r="127" spans="1:28" ht="16.5" customHeight="1" x14ac:dyDescent="0.25">
      <c r="A127" s="177" t="s">
        <v>1590</v>
      </c>
      <c r="B127" s="18" t="s">
        <v>1589</v>
      </c>
      <c r="C127" s="1">
        <v>-1000000</v>
      </c>
      <c r="F127" s="1">
        <v>1000000</v>
      </c>
    </row>
    <row r="128" spans="1:28" ht="16.5" customHeight="1" x14ac:dyDescent="0.25">
      <c r="A128" s="179" t="s">
        <v>1608</v>
      </c>
      <c r="B128" s="1" t="s">
        <v>1612</v>
      </c>
      <c r="C128" s="1">
        <v>-800000</v>
      </c>
      <c r="AA128" s="1">
        <v>800000</v>
      </c>
    </row>
    <row r="129" spans="1:28" ht="16.5" customHeight="1" x14ac:dyDescent="0.25">
      <c r="A129" s="179" t="s">
        <v>1613</v>
      </c>
      <c r="B129" s="1" t="s">
        <v>1614</v>
      </c>
      <c r="C129" s="1">
        <v>5033548</v>
      </c>
      <c r="S129" s="1">
        <v>5033548</v>
      </c>
    </row>
    <row r="130" spans="1:28" ht="16.5" customHeight="1" x14ac:dyDescent="0.25">
      <c r="A130" s="180" t="s">
        <v>1613</v>
      </c>
      <c r="B130" s="18" t="s">
        <v>1615</v>
      </c>
      <c r="C130" s="1">
        <v>-800000</v>
      </c>
      <c r="F130" s="1">
        <v>800000</v>
      </c>
    </row>
    <row r="131" spans="1:28" ht="16.5" customHeight="1" x14ac:dyDescent="0.25">
      <c r="A131" s="180" t="s">
        <v>1613</v>
      </c>
      <c r="B131" s="1" t="s">
        <v>1616</v>
      </c>
      <c r="C131" s="1">
        <v>-1945521</v>
      </c>
      <c r="X131" s="1">
        <v>1945521</v>
      </c>
    </row>
    <row r="132" spans="1:28" ht="16.5" customHeight="1" x14ac:dyDescent="0.25">
      <c r="A132" s="180" t="s">
        <v>1618</v>
      </c>
      <c r="B132" s="1" t="s">
        <v>1620</v>
      </c>
      <c r="C132" s="1">
        <v>-342300</v>
      </c>
      <c r="H132" s="1">
        <v>342300</v>
      </c>
    </row>
    <row r="133" spans="1:28" ht="16.5" customHeight="1" x14ac:dyDescent="0.25">
      <c r="A133" s="181" t="s">
        <v>1623</v>
      </c>
      <c r="B133" s="18" t="s">
        <v>1624</v>
      </c>
      <c r="C133" s="1">
        <v>-342300</v>
      </c>
      <c r="F133" s="1">
        <v>342300</v>
      </c>
    </row>
    <row r="134" spans="1:28" ht="16.5" customHeight="1" x14ac:dyDescent="0.25">
      <c r="A134" s="182" t="s">
        <v>1638</v>
      </c>
      <c r="B134" s="18" t="s">
        <v>1640</v>
      </c>
      <c r="C134" s="1">
        <v>-800000</v>
      </c>
      <c r="F134" s="1">
        <v>800000</v>
      </c>
    </row>
    <row r="135" spans="1:28" ht="16.5" customHeight="1" x14ac:dyDescent="0.25">
      <c r="A135" s="182" t="s">
        <v>1638</v>
      </c>
      <c r="B135" s="1" t="s">
        <v>1639</v>
      </c>
      <c r="C135" s="1">
        <v>-400000</v>
      </c>
      <c r="AA135" s="1">
        <v>400000</v>
      </c>
    </row>
    <row r="136" spans="1:28" ht="16.5" customHeight="1" x14ac:dyDescent="0.25">
      <c r="A136" s="181" t="s">
        <v>1647</v>
      </c>
      <c r="B136" s="1" t="s">
        <v>1648</v>
      </c>
      <c r="C136" s="1">
        <v>3500000</v>
      </c>
      <c r="S136" s="1">
        <v>3500000</v>
      </c>
    </row>
    <row r="137" spans="1:28" ht="16.5" customHeight="1" x14ac:dyDescent="0.25">
      <c r="A137" s="186" t="s">
        <v>1652</v>
      </c>
      <c r="B137" s="18" t="s">
        <v>1676</v>
      </c>
      <c r="C137" s="1">
        <v>-1000000</v>
      </c>
      <c r="F137" s="1">
        <v>1000000</v>
      </c>
    </row>
    <row r="138" spans="1:28" s="3" customFormat="1" ht="16.5" customHeight="1" x14ac:dyDescent="0.25">
      <c r="A138" s="2"/>
      <c r="C138" s="3">
        <f>SUM(C123:C137)</f>
        <v>3422322</v>
      </c>
      <c r="D138" s="3">
        <f t="shared" ref="D138:AB138" si="11">SUM(D123:D137)</f>
        <v>3436.92</v>
      </c>
      <c r="E138" s="3">
        <f t="shared" si="11"/>
        <v>0</v>
      </c>
      <c r="F138" s="3">
        <f t="shared" si="11"/>
        <v>5642300</v>
      </c>
      <c r="G138" s="3">
        <f t="shared" si="11"/>
        <v>0</v>
      </c>
      <c r="H138" s="3">
        <f t="shared" si="11"/>
        <v>342300</v>
      </c>
      <c r="I138" s="3">
        <f t="shared" si="11"/>
        <v>0</v>
      </c>
      <c r="J138" s="3">
        <f t="shared" si="11"/>
        <v>0</v>
      </c>
      <c r="K138" s="3">
        <f t="shared" si="11"/>
        <v>0</v>
      </c>
      <c r="L138" s="3">
        <f t="shared" si="11"/>
        <v>0</v>
      </c>
      <c r="M138" s="3">
        <f t="shared" si="11"/>
        <v>0</v>
      </c>
      <c r="N138" s="3">
        <f t="shared" si="11"/>
        <v>0</v>
      </c>
      <c r="O138" s="3">
        <f t="shared" si="11"/>
        <v>0</v>
      </c>
      <c r="P138" s="3">
        <f t="shared" si="11"/>
        <v>0</v>
      </c>
      <c r="Q138" s="3">
        <f t="shared" si="11"/>
        <v>0</v>
      </c>
      <c r="R138" s="3">
        <f t="shared" si="11"/>
        <v>0</v>
      </c>
      <c r="S138" s="3">
        <f t="shared" si="11"/>
        <v>29137514</v>
      </c>
      <c r="T138" s="3">
        <f t="shared" si="11"/>
        <v>2434450</v>
      </c>
      <c r="V138" s="3">
        <f t="shared" si="11"/>
        <v>520000</v>
      </c>
      <c r="W138" s="3">
        <f t="shared" si="11"/>
        <v>200000</v>
      </c>
      <c r="X138" s="3">
        <f t="shared" si="11"/>
        <v>3325521</v>
      </c>
      <c r="Y138" s="3">
        <f t="shared" si="11"/>
        <v>2500</v>
      </c>
      <c r="Z138" s="3">
        <f t="shared" si="11"/>
        <v>450000</v>
      </c>
      <c r="AA138" s="3">
        <f t="shared" si="11"/>
        <v>4400000</v>
      </c>
      <c r="AB138" s="3">
        <f t="shared" si="11"/>
        <v>0</v>
      </c>
    </row>
    <row r="141" spans="1:28" ht="16.5" customHeight="1" x14ac:dyDescent="0.25">
      <c r="A141" s="187"/>
      <c r="F141" s="378" t="s">
        <v>28</v>
      </c>
      <c r="G141" s="378"/>
      <c r="H141" s="187"/>
      <c r="M141" s="378" t="s">
        <v>77</v>
      </c>
      <c r="N141" s="378"/>
      <c r="O141" s="378"/>
      <c r="P141" s="378" t="s">
        <v>65</v>
      </c>
      <c r="Q141" s="378"/>
      <c r="T141" s="378" t="s">
        <v>90</v>
      </c>
      <c r="U141" s="378"/>
      <c r="V141" s="378"/>
      <c r="W141" s="378"/>
      <c r="X141" s="378"/>
    </row>
    <row r="142" spans="1:28" s="187" customFormat="1" ht="16.5" customHeight="1" x14ac:dyDescent="0.25">
      <c r="A142" s="187" t="s">
        <v>0</v>
      </c>
      <c r="B142" s="187" t="s">
        <v>5</v>
      </c>
      <c r="C142" s="187" t="s">
        <v>27</v>
      </c>
      <c r="D142" s="187" t="s">
        <v>81</v>
      </c>
      <c r="E142" s="187" t="s">
        <v>1359</v>
      </c>
      <c r="F142" s="187" t="s">
        <v>27</v>
      </c>
      <c r="G142" s="187" t="s">
        <v>81</v>
      </c>
      <c r="H142" s="187" t="s">
        <v>281</v>
      </c>
      <c r="I142" s="187" t="s">
        <v>40</v>
      </c>
      <c r="J142" s="187" t="s">
        <v>49</v>
      </c>
      <c r="K142" s="187" t="s">
        <v>643</v>
      </c>
      <c r="L142" s="187" t="s">
        <v>60</v>
      </c>
      <c r="M142" s="187" t="s">
        <v>256</v>
      </c>
      <c r="N142" s="187" t="s">
        <v>673</v>
      </c>
      <c r="O142" s="187" t="s">
        <v>438</v>
      </c>
      <c r="P142" s="187" t="s">
        <v>256</v>
      </c>
      <c r="Q142" s="187" t="s">
        <v>438</v>
      </c>
      <c r="R142" s="187" t="s">
        <v>330</v>
      </c>
      <c r="S142" s="187" t="s">
        <v>917</v>
      </c>
      <c r="T142" s="187" t="s">
        <v>1343</v>
      </c>
      <c r="U142" s="238" t="s">
        <v>613</v>
      </c>
      <c r="V142" s="187" t="s">
        <v>314</v>
      </c>
      <c r="W142" s="11" t="s">
        <v>329</v>
      </c>
      <c r="X142" s="187" t="s">
        <v>537</v>
      </c>
      <c r="Y142" s="187" t="s">
        <v>257</v>
      </c>
      <c r="Z142" s="187" t="s">
        <v>901</v>
      </c>
      <c r="AA142" s="187" t="s">
        <v>536</v>
      </c>
      <c r="AB142" s="187" t="s">
        <v>1645</v>
      </c>
    </row>
    <row r="143" spans="1:28" ht="16.5" customHeight="1" x14ac:dyDescent="0.25">
      <c r="A143" s="187" t="s">
        <v>1694</v>
      </c>
      <c r="B143" s="1" t="s">
        <v>2</v>
      </c>
      <c r="C143" s="1">
        <f>C138</f>
        <v>3422322</v>
      </c>
      <c r="D143" s="1">
        <f>D138</f>
        <v>3436.92</v>
      </c>
      <c r="S143" s="1">
        <f t="shared" ref="S143:AA143" si="12">S138</f>
        <v>29137514</v>
      </c>
      <c r="T143" s="1">
        <f t="shared" si="12"/>
        <v>2434450</v>
      </c>
      <c r="V143" s="1">
        <f t="shared" si="12"/>
        <v>520000</v>
      </c>
      <c r="W143" s="1">
        <f t="shared" si="12"/>
        <v>200000</v>
      </c>
      <c r="X143" s="1">
        <f t="shared" si="12"/>
        <v>3325521</v>
      </c>
      <c r="Y143" s="1">
        <f t="shared" si="12"/>
        <v>2500</v>
      </c>
      <c r="Z143" s="1">
        <f t="shared" si="12"/>
        <v>450000</v>
      </c>
      <c r="AA143" s="1">
        <f t="shared" si="12"/>
        <v>4400000</v>
      </c>
    </row>
    <row r="144" spans="1:28" ht="16.5" customHeight="1" x14ac:dyDescent="0.25">
      <c r="A144" s="189" t="s">
        <v>1702</v>
      </c>
      <c r="B144" s="18" t="s">
        <v>1703</v>
      </c>
      <c r="C144" s="1">
        <v>-1200000</v>
      </c>
      <c r="F144" s="1">
        <v>1200000</v>
      </c>
    </row>
    <row r="145" spans="1:28" ht="16.5" customHeight="1" x14ac:dyDescent="0.25">
      <c r="A145" s="7" t="s">
        <v>1729</v>
      </c>
      <c r="B145" s="18" t="s">
        <v>1733</v>
      </c>
      <c r="C145" s="1">
        <v>-700000</v>
      </c>
      <c r="F145" s="1">
        <v>700000</v>
      </c>
    </row>
    <row r="146" spans="1:28" ht="16.5" customHeight="1" x14ac:dyDescent="0.25">
      <c r="A146" s="25" t="s">
        <v>1745</v>
      </c>
      <c r="B146" s="18" t="s">
        <v>1747</v>
      </c>
      <c r="C146" s="1">
        <v>-600000</v>
      </c>
      <c r="F146" s="1">
        <v>600000</v>
      </c>
    </row>
    <row r="147" spans="1:28" ht="16.5" customHeight="1" x14ac:dyDescent="0.25">
      <c r="A147" s="193" t="s">
        <v>1758</v>
      </c>
      <c r="B147" s="1" t="s">
        <v>1764</v>
      </c>
      <c r="C147" s="1">
        <v>-265609</v>
      </c>
      <c r="H147" s="1">
        <v>265609</v>
      </c>
    </row>
    <row r="148" spans="1:28" ht="16.5" customHeight="1" x14ac:dyDescent="0.25">
      <c r="A148" s="193" t="s">
        <v>1757</v>
      </c>
      <c r="B148" s="1" t="s">
        <v>1518</v>
      </c>
      <c r="C148" s="1">
        <v>5000000</v>
      </c>
      <c r="S148" s="1">
        <v>5000000</v>
      </c>
    </row>
    <row r="149" spans="1:28" ht="16.5" customHeight="1" x14ac:dyDescent="0.25">
      <c r="A149" s="194" t="s">
        <v>1762</v>
      </c>
      <c r="B149" s="18" t="s">
        <v>1763</v>
      </c>
      <c r="C149" s="1">
        <v>-2000000</v>
      </c>
      <c r="F149" s="1">
        <v>2000000</v>
      </c>
    </row>
    <row r="150" spans="1:28" ht="16.5" customHeight="1" x14ac:dyDescent="0.25">
      <c r="A150" s="194" t="s">
        <v>1762</v>
      </c>
      <c r="B150" s="18" t="s">
        <v>1765</v>
      </c>
      <c r="C150" s="1">
        <v>-262500</v>
      </c>
      <c r="T150" s="1">
        <v>262500</v>
      </c>
    </row>
    <row r="151" spans="1:28" ht="16.5" customHeight="1" x14ac:dyDescent="0.25">
      <c r="A151" s="194" t="s">
        <v>1767</v>
      </c>
      <c r="B151" s="18" t="s">
        <v>1778</v>
      </c>
      <c r="C151" s="1">
        <v>-700000</v>
      </c>
      <c r="F151" s="1">
        <v>700000</v>
      </c>
    </row>
    <row r="152" spans="1:28" s="65" customFormat="1" ht="16.5" customHeight="1" x14ac:dyDescent="0.25">
      <c r="A152" s="64" t="s">
        <v>1781</v>
      </c>
      <c r="B152" s="1" t="s">
        <v>1791</v>
      </c>
      <c r="C152" s="65">
        <v>-500000</v>
      </c>
      <c r="Y152" s="65">
        <v>500000</v>
      </c>
    </row>
    <row r="153" spans="1:28" s="65" customFormat="1" ht="16.5" customHeight="1" x14ac:dyDescent="0.25">
      <c r="A153" s="199" t="s">
        <v>1792</v>
      </c>
      <c r="B153" s="18" t="s">
        <v>1793</v>
      </c>
      <c r="C153" s="65">
        <v>-500000</v>
      </c>
      <c r="F153" s="65">
        <v>500000</v>
      </c>
    </row>
    <row r="154" spans="1:28" s="65" customFormat="1" ht="16.5" customHeight="1" x14ac:dyDescent="0.25">
      <c r="A154" s="64"/>
      <c r="B154" s="1"/>
    </row>
    <row r="155" spans="1:28" s="3" customFormat="1" ht="16.5" customHeight="1" x14ac:dyDescent="0.25">
      <c r="A155" s="2"/>
      <c r="C155" s="3">
        <f>SUM(C143:C154)</f>
        <v>1694213</v>
      </c>
      <c r="D155" s="3">
        <f t="shared" ref="D155:AB155" si="13">SUM(D143:D154)</f>
        <v>3436.92</v>
      </c>
      <c r="E155" s="3">
        <f t="shared" si="13"/>
        <v>0</v>
      </c>
      <c r="F155" s="3">
        <f t="shared" si="13"/>
        <v>5700000</v>
      </c>
      <c r="G155" s="3">
        <f t="shared" si="13"/>
        <v>0</v>
      </c>
      <c r="H155" s="3">
        <f t="shared" si="13"/>
        <v>265609</v>
      </c>
      <c r="I155" s="3">
        <f t="shared" si="13"/>
        <v>0</v>
      </c>
      <c r="J155" s="3">
        <f t="shared" si="13"/>
        <v>0</v>
      </c>
      <c r="K155" s="3">
        <f t="shared" si="13"/>
        <v>0</v>
      </c>
      <c r="L155" s="3">
        <f t="shared" si="13"/>
        <v>0</v>
      </c>
      <c r="M155" s="3">
        <f t="shared" si="13"/>
        <v>0</v>
      </c>
      <c r="N155" s="3">
        <f t="shared" si="13"/>
        <v>0</v>
      </c>
      <c r="O155" s="3">
        <f t="shared" si="13"/>
        <v>0</v>
      </c>
      <c r="P155" s="3">
        <f t="shared" si="13"/>
        <v>0</v>
      </c>
      <c r="Q155" s="3">
        <f t="shared" si="13"/>
        <v>0</v>
      </c>
      <c r="R155" s="3">
        <f t="shared" si="13"/>
        <v>0</v>
      </c>
      <c r="S155" s="3">
        <f t="shared" si="13"/>
        <v>34137514</v>
      </c>
      <c r="T155" s="3">
        <f t="shared" si="13"/>
        <v>2696950</v>
      </c>
      <c r="V155" s="3">
        <f t="shared" si="13"/>
        <v>520000</v>
      </c>
      <c r="W155" s="3">
        <f t="shared" si="13"/>
        <v>200000</v>
      </c>
      <c r="X155" s="3">
        <f t="shared" si="13"/>
        <v>3325521</v>
      </c>
      <c r="Y155" s="3">
        <f t="shared" si="13"/>
        <v>502500</v>
      </c>
      <c r="Z155" s="3">
        <f t="shared" si="13"/>
        <v>450000</v>
      </c>
      <c r="AA155" s="3">
        <f t="shared" si="13"/>
        <v>4400000</v>
      </c>
      <c r="AB155" s="3">
        <f t="shared" si="13"/>
        <v>0</v>
      </c>
    </row>
    <row r="160" spans="1:28" s="3" customFormat="1" ht="16.5" customHeight="1" x14ac:dyDescent="0.25">
      <c r="A160" s="2"/>
      <c r="F160" s="380" t="s">
        <v>28</v>
      </c>
      <c r="G160" s="380"/>
      <c r="H160" s="2"/>
      <c r="M160" s="380" t="s">
        <v>77</v>
      </c>
      <c r="N160" s="380"/>
      <c r="O160" s="380"/>
      <c r="P160" s="380" t="s">
        <v>65</v>
      </c>
      <c r="Q160" s="380"/>
      <c r="T160" s="380" t="s">
        <v>90</v>
      </c>
      <c r="U160" s="380"/>
      <c r="V160" s="380"/>
      <c r="W160" s="380"/>
      <c r="X160" s="380"/>
    </row>
    <row r="161" spans="1:28" s="2" customFormat="1" ht="16.5" customHeight="1" x14ac:dyDescent="0.25">
      <c r="A161" s="2" t="s">
        <v>0</v>
      </c>
      <c r="B161" s="2" t="s">
        <v>5</v>
      </c>
      <c r="C161" s="2" t="s">
        <v>27</v>
      </c>
      <c r="D161" s="2" t="s">
        <v>81</v>
      </c>
      <c r="E161" s="2" t="s">
        <v>1359</v>
      </c>
      <c r="F161" s="2" t="s">
        <v>27</v>
      </c>
      <c r="G161" s="2" t="s">
        <v>81</v>
      </c>
      <c r="H161" s="2" t="s">
        <v>281</v>
      </c>
      <c r="I161" s="2" t="s">
        <v>40</v>
      </c>
      <c r="J161" s="2" t="s">
        <v>49</v>
      </c>
      <c r="K161" s="2" t="s">
        <v>643</v>
      </c>
      <c r="L161" s="2" t="s">
        <v>60</v>
      </c>
      <c r="M161" s="2" t="s">
        <v>256</v>
      </c>
      <c r="N161" s="2" t="s">
        <v>673</v>
      </c>
      <c r="O161" s="2" t="s">
        <v>438</v>
      </c>
      <c r="P161" s="2" t="s">
        <v>256</v>
      </c>
      <c r="Q161" s="2" t="s">
        <v>438</v>
      </c>
      <c r="R161" s="2" t="s">
        <v>330</v>
      </c>
      <c r="S161" s="2" t="s">
        <v>917</v>
      </c>
      <c r="T161" s="2" t="s">
        <v>1343</v>
      </c>
      <c r="U161" s="238" t="s">
        <v>613</v>
      </c>
      <c r="V161" s="2" t="s">
        <v>314</v>
      </c>
      <c r="W161" s="51" t="s">
        <v>329</v>
      </c>
      <c r="X161" s="2" t="s">
        <v>537</v>
      </c>
      <c r="Y161" s="2" t="s">
        <v>257</v>
      </c>
      <c r="Z161" s="2" t="s">
        <v>901</v>
      </c>
      <c r="AA161" s="2" t="s">
        <v>536</v>
      </c>
      <c r="AB161" s="2" t="s">
        <v>1645</v>
      </c>
    </row>
    <row r="162" spans="1:28" ht="16.5" customHeight="1" x14ac:dyDescent="0.25">
      <c r="A162" s="25" t="s">
        <v>1796</v>
      </c>
      <c r="B162" s="1" t="s">
        <v>2</v>
      </c>
      <c r="C162" s="1">
        <f>C155</f>
        <v>1694213</v>
      </c>
      <c r="S162" s="1">
        <f t="shared" ref="S162:AA162" si="14">S155</f>
        <v>34137514</v>
      </c>
      <c r="T162" s="1">
        <f t="shared" si="14"/>
        <v>2696950</v>
      </c>
      <c r="V162" s="1">
        <f t="shared" si="14"/>
        <v>520000</v>
      </c>
      <c r="W162" s="1">
        <f t="shared" si="14"/>
        <v>200000</v>
      </c>
      <c r="X162" s="1">
        <f t="shared" si="14"/>
        <v>3325521</v>
      </c>
      <c r="Y162" s="1">
        <f t="shared" si="14"/>
        <v>502500</v>
      </c>
      <c r="Z162" s="1">
        <f t="shared" si="14"/>
        <v>450000</v>
      </c>
      <c r="AA162" s="1">
        <f t="shared" si="14"/>
        <v>4400000</v>
      </c>
    </row>
    <row r="163" spans="1:28" ht="16.5" customHeight="1" x14ac:dyDescent="0.25">
      <c r="A163" s="25" t="s">
        <v>2011</v>
      </c>
      <c r="B163" s="1" t="s">
        <v>2012</v>
      </c>
      <c r="C163" s="1">
        <v>2304807</v>
      </c>
      <c r="S163" s="1">
        <v>2304807</v>
      </c>
    </row>
    <row r="164" spans="1:28" ht="16.5" customHeight="1" x14ac:dyDescent="0.25">
      <c r="A164" s="238" t="s">
        <v>2062</v>
      </c>
      <c r="B164" s="84" t="s">
        <v>2152</v>
      </c>
      <c r="T164" s="1">
        <v>-2696950</v>
      </c>
    </row>
    <row r="165" spans="1:28" ht="16.5" customHeight="1" x14ac:dyDescent="0.25">
      <c r="A165" s="238"/>
      <c r="B165" s="41" t="s">
        <v>2153</v>
      </c>
      <c r="U165" s="1">
        <v>2696950</v>
      </c>
    </row>
    <row r="166" spans="1:28" ht="16.5" customHeight="1" x14ac:dyDescent="0.25">
      <c r="A166" s="227" t="s">
        <v>2094</v>
      </c>
      <c r="B166" s="1" t="s">
        <v>2095</v>
      </c>
      <c r="C166" s="1">
        <v>5000000</v>
      </c>
      <c r="S166" s="1">
        <v>5000000</v>
      </c>
    </row>
    <row r="167" spans="1:28" ht="16.5" customHeight="1" x14ac:dyDescent="0.25">
      <c r="A167" s="227" t="s">
        <v>2109</v>
      </c>
      <c r="B167" s="1" t="s">
        <v>2126</v>
      </c>
      <c r="C167" s="1">
        <v>-273577</v>
      </c>
      <c r="H167" s="1">
        <v>273577</v>
      </c>
    </row>
    <row r="168" spans="1:28" ht="45" x14ac:dyDescent="0.25">
      <c r="A168" s="250" t="s">
        <v>2231</v>
      </c>
      <c r="B168" s="98" t="s">
        <v>2233</v>
      </c>
      <c r="C168" s="1">
        <v>-14408</v>
      </c>
      <c r="E168" s="160" t="s">
        <v>2234</v>
      </c>
      <c r="I168" s="1">
        <v>14408</v>
      </c>
    </row>
    <row r="169" spans="1:28" ht="16.5" customHeight="1" x14ac:dyDescent="0.25">
      <c r="A169" s="251" t="s">
        <v>2236</v>
      </c>
      <c r="B169" s="1" t="s">
        <v>2237</v>
      </c>
      <c r="C169" s="1">
        <v>-3200000</v>
      </c>
      <c r="P169" s="1">
        <v>3200000</v>
      </c>
    </row>
    <row r="170" spans="1:28" ht="16.5" customHeight="1" x14ac:dyDescent="0.25">
      <c r="A170" s="252" t="s">
        <v>2239</v>
      </c>
      <c r="B170" s="18" t="s">
        <v>2240</v>
      </c>
      <c r="C170" s="1">
        <v>-1500000</v>
      </c>
      <c r="X170" s="1">
        <v>1500000</v>
      </c>
    </row>
    <row r="173" spans="1:28" ht="16.5" customHeight="1" x14ac:dyDescent="0.25">
      <c r="A173" s="258"/>
    </row>
    <row r="174" spans="1:28" ht="16.5" customHeight="1" x14ac:dyDescent="0.25">
      <c r="A174" s="258"/>
      <c r="B174" s="7"/>
    </row>
    <row r="175" spans="1:28" ht="16.5" customHeight="1" x14ac:dyDescent="0.25">
      <c r="A175" s="258"/>
      <c r="B175" s="18"/>
    </row>
    <row r="176" spans="1:28" ht="16.5" customHeight="1" x14ac:dyDescent="0.25">
      <c r="A176" s="258"/>
      <c r="B176" s="18"/>
    </row>
    <row r="177" spans="1:28" ht="16.5" customHeight="1" x14ac:dyDescent="0.25">
      <c r="A177" s="258"/>
      <c r="B177" s="18"/>
    </row>
    <row r="178" spans="1:28" ht="16.5" customHeight="1" x14ac:dyDescent="0.25">
      <c r="A178" s="258"/>
      <c r="B178" s="18"/>
    </row>
    <row r="179" spans="1:28" ht="16.5" customHeight="1" x14ac:dyDescent="0.25">
      <c r="A179" s="258"/>
      <c r="B179" s="18"/>
    </row>
    <row r="180" spans="1:28" ht="16.5" customHeight="1" x14ac:dyDescent="0.25">
      <c r="A180" s="250"/>
    </row>
    <row r="181" spans="1:28" s="3" customFormat="1" ht="16.5" customHeight="1" x14ac:dyDescent="0.25">
      <c r="A181" s="231"/>
      <c r="C181" s="3">
        <f>SUM(C162:C180)</f>
        <v>4011035</v>
      </c>
      <c r="D181" s="3">
        <f>SUM(D162:D180)</f>
        <v>0</v>
      </c>
      <c r="E181" s="3">
        <f t="shared" ref="E181:AB181" si="15">SUM(E162:E180)</f>
        <v>0</v>
      </c>
      <c r="F181" s="3">
        <f t="shared" si="15"/>
        <v>0</v>
      </c>
      <c r="G181" s="3">
        <f t="shared" si="15"/>
        <v>0</v>
      </c>
      <c r="H181" s="3">
        <f t="shared" si="15"/>
        <v>273577</v>
      </c>
      <c r="I181" s="3">
        <f t="shared" si="15"/>
        <v>14408</v>
      </c>
      <c r="J181" s="3">
        <f t="shared" si="15"/>
        <v>0</v>
      </c>
      <c r="K181" s="3">
        <f t="shared" si="15"/>
        <v>0</v>
      </c>
      <c r="L181" s="3">
        <f t="shared" si="15"/>
        <v>0</v>
      </c>
      <c r="M181" s="3">
        <f t="shared" si="15"/>
        <v>0</v>
      </c>
      <c r="N181" s="3">
        <f t="shared" si="15"/>
        <v>0</v>
      </c>
      <c r="O181" s="3">
        <f t="shared" si="15"/>
        <v>0</v>
      </c>
      <c r="P181" s="3">
        <f t="shared" si="15"/>
        <v>3200000</v>
      </c>
      <c r="Q181" s="3">
        <f t="shared" si="15"/>
        <v>0</v>
      </c>
      <c r="R181" s="3">
        <f t="shared" si="15"/>
        <v>0</v>
      </c>
      <c r="S181" s="3">
        <f t="shared" si="15"/>
        <v>41442321</v>
      </c>
      <c r="T181" s="3">
        <f t="shared" si="15"/>
        <v>0</v>
      </c>
      <c r="U181" s="3">
        <f t="shared" si="15"/>
        <v>2696950</v>
      </c>
      <c r="V181" s="3">
        <f t="shared" si="15"/>
        <v>520000</v>
      </c>
      <c r="W181" s="3">
        <f t="shared" si="15"/>
        <v>200000</v>
      </c>
      <c r="X181" s="3">
        <f t="shared" si="15"/>
        <v>4825521</v>
      </c>
      <c r="Y181" s="3">
        <f t="shared" si="15"/>
        <v>502500</v>
      </c>
      <c r="Z181" s="3">
        <f t="shared" si="15"/>
        <v>450000</v>
      </c>
      <c r="AA181" s="3">
        <f t="shared" si="15"/>
        <v>4400000</v>
      </c>
      <c r="AB181" s="3">
        <f t="shared" si="15"/>
        <v>0</v>
      </c>
    </row>
    <row r="183" spans="1:28" s="3" customFormat="1" ht="16.5" customHeight="1" x14ac:dyDescent="0.25">
      <c r="A183" s="254"/>
      <c r="F183" s="380" t="s">
        <v>28</v>
      </c>
      <c r="G183" s="380"/>
      <c r="H183" s="254"/>
      <c r="M183" s="380" t="s">
        <v>77</v>
      </c>
      <c r="N183" s="380"/>
      <c r="O183" s="380"/>
      <c r="P183" s="380" t="s">
        <v>65</v>
      </c>
      <c r="Q183" s="380"/>
      <c r="T183" s="380" t="s">
        <v>90</v>
      </c>
      <c r="U183" s="380"/>
      <c r="V183" s="380"/>
      <c r="W183" s="380"/>
      <c r="X183" s="380"/>
    </row>
    <row r="184" spans="1:28" s="254" customFormat="1" ht="16.5" customHeight="1" x14ac:dyDescent="0.25">
      <c r="A184" s="254" t="s">
        <v>0</v>
      </c>
      <c r="B184" s="254" t="s">
        <v>5</v>
      </c>
      <c r="C184" s="254" t="s">
        <v>27</v>
      </c>
      <c r="D184" s="254" t="s">
        <v>81</v>
      </c>
      <c r="E184" s="254" t="s">
        <v>1359</v>
      </c>
      <c r="F184" s="254" t="s">
        <v>27</v>
      </c>
      <c r="G184" s="254" t="s">
        <v>81</v>
      </c>
      <c r="H184" s="254" t="s">
        <v>281</v>
      </c>
      <c r="I184" s="254" t="s">
        <v>40</v>
      </c>
      <c r="J184" s="254" t="s">
        <v>49</v>
      </c>
      <c r="K184" s="254" t="s">
        <v>643</v>
      </c>
      <c r="L184" s="254" t="s">
        <v>60</v>
      </c>
      <c r="M184" s="254" t="s">
        <v>256</v>
      </c>
      <c r="N184" s="254" t="s">
        <v>673</v>
      </c>
      <c r="O184" s="254" t="s">
        <v>438</v>
      </c>
      <c r="P184" s="254" t="s">
        <v>256</v>
      </c>
      <c r="Q184" s="254" t="s">
        <v>438</v>
      </c>
      <c r="R184" s="254" t="s">
        <v>330</v>
      </c>
      <c r="S184" s="254" t="s">
        <v>917</v>
      </c>
      <c r="T184" s="254" t="s">
        <v>1343</v>
      </c>
      <c r="U184" s="253" t="s">
        <v>613</v>
      </c>
      <c r="V184" s="254" t="s">
        <v>314</v>
      </c>
      <c r="W184" s="51" t="s">
        <v>329</v>
      </c>
      <c r="X184" s="254" t="s">
        <v>537</v>
      </c>
      <c r="Y184" s="254" t="s">
        <v>257</v>
      </c>
      <c r="Z184" s="254" t="s">
        <v>901</v>
      </c>
      <c r="AA184" s="254" t="s">
        <v>536</v>
      </c>
      <c r="AB184" s="254" t="s">
        <v>1645</v>
      </c>
    </row>
    <row r="185" spans="1:28" ht="16.5" customHeight="1" x14ac:dyDescent="0.25">
      <c r="A185" s="253" t="s">
        <v>2241</v>
      </c>
      <c r="B185" s="1" t="s">
        <v>2</v>
      </c>
      <c r="C185" s="1">
        <v>4011035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3200000</v>
      </c>
      <c r="Q185" s="1">
        <v>0</v>
      </c>
      <c r="R185" s="1">
        <v>0</v>
      </c>
      <c r="S185" s="1">
        <v>41442321</v>
      </c>
      <c r="T185" s="1">
        <v>0</v>
      </c>
      <c r="U185" s="1">
        <v>2696950</v>
      </c>
      <c r="V185" s="1">
        <v>520000</v>
      </c>
      <c r="W185" s="1">
        <v>200000</v>
      </c>
      <c r="X185" s="1">
        <v>4825521</v>
      </c>
      <c r="Y185" s="1">
        <v>502500</v>
      </c>
      <c r="Z185" s="1">
        <v>450000</v>
      </c>
      <c r="AA185" s="1">
        <v>4400000</v>
      </c>
      <c r="AB185" s="1">
        <v>0</v>
      </c>
    </row>
    <row r="186" spans="1:28" ht="16.5" customHeight="1" x14ac:dyDescent="0.25">
      <c r="A186" s="258" t="s">
        <v>2261</v>
      </c>
      <c r="B186" s="18" t="s">
        <v>2262</v>
      </c>
      <c r="C186" s="1">
        <v>-1600000</v>
      </c>
      <c r="F186" s="1">
        <v>1600000</v>
      </c>
    </row>
    <row r="187" spans="1:28" ht="16.5" customHeight="1" x14ac:dyDescent="0.25">
      <c r="A187" s="258" t="s">
        <v>2261</v>
      </c>
      <c r="B187" s="1" t="s">
        <v>2264</v>
      </c>
      <c r="C187" s="1">
        <v>-301123</v>
      </c>
      <c r="H187" s="1">
        <v>301123</v>
      </c>
    </row>
    <row r="188" spans="1:28" ht="16.5" customHeight="1" x14ac:dyDescent="0.25">
      <c r="A188" s="282" t="s">
        <v>2349</v>
      </c>
      <c r="B188" s="1" t="s">
        <v>2350</v>
      </c>
      <c r="C188" s="1">
        <v>-349215</v>
      </c>
      <c r="H188" s="1">
        <v>349215</v>
      </c>
    </row>
    <row r="189" spans="1:28" ht="16.5" customHeight="1" x14ac:dyDescent="0.25">
      <c r="A189" s="284" t="s">
        <v>2355</v>
      </c>
      <c r="B189" s="18" t="s">
        <v>2360</v>
      </c>
      <c r="C189" s="1">
        <v>-18244</v>
      </c>
      <c r="I189" s="1">
        <v>18244</v>
      </c>
    </row>
    <row r="190" spans="1:28" ht="16.5" customHeight="1" x14ac:dyDescent="0.25">
      <c r="A190" s="289" t="s">
        <v>2367</v>
      </c>
      <c r="B190" s="18" t="s">
        <v>2368</v>
      </c>
      <c r="C190" s="1">
        <v>-500000</v>
      </c>
      <c r="F190" s="1">
        <v>500000</v>
      </c>
    </row>
    <row r="191" spans="1:28" ht="16.5" customHeight="1" x14ac:dyDescent="0.25">
      <c r="A191" s="291" t="s">
        <v>2376</v>
      </c>
      <c r="B191" s="18" t="s">
        <v>2377</v>
      </c>
      <c r="C191" s="1">
        <v>-500000</v>
      </c>
      <c r="F191" s="1">
        <v>500000</v>
      </c>
    </row>
    <row r="192" spans="1:28" ht="16.5" customHeight="1" x14ac:dyDescent="0.25">
      <c r="A192" s="296" t="s">
        <v>2396</v>
      </c>
      <c r="B192" s="1" t="s">
        <v>2095</v>
      </c>
      <c r="C192" s="1">
        <v>2500000</v>
      </c>
      <c r="S192" s="1">
        <v>2500000</v>
      </c>
    </row>
    <row r="193" spans="1:28" ht="16.5" customHeight="1" x14ac:dyDescent="0.25">
      <c r="A193" s="300" t="s">
        <v>2309</v>
      </c>
      <c r="B193" s="1" t="s">
        <v>2482</v>
      </c>
      <c r="C193" s="1">
        <v>-291735</v>
      </c>
      <c r="H193" s="1">
        <v>294735</v>
      </c>
    </row>
    <row r="194" spans="1:28" ht="16.5" customHeight="1" x14ac:dyDescent="0.25">
      <c r="A194" s="304" t="s">
        <v>2429</v>
      </c>
      <c r="B194" s="4" t="s">
        <v>2581</v>
      </c>
      <c r="C194" s="1">
        <v>-1072000</v>
      </c>
      <c r="O194" s="1">
        <v>1072000</v>
      </c>
    </row>
    <row r="195" spans="1:28" ht="16.5" customHeight="1" x14ac:dyDescent="0.25">
      <c r="A195" s="307" t="s">
        <v>2429</v>
      </c>
      <c r="B195" s="1" t="s">
        <v>2486</v>
      </c>
      <c r="C195" s="1">
        <v>-185650</v>
      </c>
      <c r="H195" s="1">
        <v>185650</v>
      </c>
    </row>
    <row r="196" spans="1:28" ht="16.5" customHeight="1" x14ac:dyDescent="0.25">
      <c r="A196" s="323" t="s">
        <v>2484</v>
      </c>
      <c r="B196" s="1" t="s">
        <v>2485</v>
      </c>
      <c r="C196" s="1">
        <v>-337665</v>
      </c>
      <c r="H196" s="1">
        <v>337665</v>
      </c>
    </row>
    <row r="197" spans="1:28" ht="16.5" customHeight="1" x14ac:dyDescent="0.25">
      <c r="A197" s="325" t="s">
        <v>2492</v>
      </c>
      <c r="B197" s="18" t="s">
        <v>2494</v>
      </c>
      <c r="C197" s="1">
        <v>-500000</v>
      </c>
      <c r="F197" s="1">
        <v>500000</v>
      </c>
    </row>
    <row r="198" spans="1:28" ht="16.5" customHeight="1" x14ac:dyDescent="0.25">
      <c r="A198" s="331" t="s">
        <v>2492</v>
      </c>
      <c r="B198" s="1" t="s">
        <v>2525</v>
      </c>
      <c r="C198" s="1">
        <v>-1150</v>
      </c>
      <c r="I198" s="1">
        <v>1150</v>
      </c>
    </row>
    <row r="199" spans="1:28" ht="16.5" customHeight="1" x14ac:dyDescent="0.25">
      <c r="A199" s="336" t="s">
        <v>2533</v>
      </c>
      <c r="B199" s="1" t="s">
        <v>2535</v>
      </c>
      <c r="C199" s="1">
        <v>-411304</v>
      </c>
      <c r="H199" s="1">
        <v>411304</v>
      </c>
    </row>
    <row r="200" spans="1:28" ht="16.5" customHeight="1" x14ac:dyDescent="0.25">
      <c r="A200" s="351" t="s">
        <v>2580</v>
      </c>
      <c r="B200" s="4" t="s">
        <v>2582</v>
      </c>
      <c r="C200" s="1">
        <v>-200000</v>
      </c>
      <c r="O200" s="1">
        <v>200000</v>
      </c>
    </row>
    <row r="201" spans="1:28" ht="16.5" customHeight="1" x14ac:dyDescent="0.25">
      <c r="A201" s="354" t="s">
        <v>2580</v>
      </c>
      <c r="C201" s="1">
        <v>0</v>
      </c>
    </row>
    <row r="202" spans="1:28" ht="16.5" customHeight="1" x14ac:dyDescent="0.25">
      <c r="A202" s="356" t="s">
        <v>2585</v>
      </c>
      <c r="B202" s="1" t="s">
        <v>2589</v>
      </c>
      <c r="C202" s="1">
        <v>1800000</v>
      </c>
      <c r="S202" s="1">
        <v>1800000</v>
      </c>
    </row>
    <row r="203" spans="1:28" ht="16.5" customHeight="1" x14ac:dyDescent="0.25">
      <c r="A203" s="361" t="s">
        <v>2600</v>
      </c>
      <c r="B203" s="1" t="s">
        <v>2601</v>
      </c>
      <c r="C203" s="1">
        <v>-280293</v>
      </c>
      <c r="H203" s="1">
        <v>280293</v>
      </c>
    </row>
    <row r="204" spans="1:28" ht="16.5" customHeight="1" x14ac:dyDescent="0.25">
      <c r="A204" s="361" t="s">
        <v>2613</v>
      </c>
      <c r="B204" s="18" t="s">
        <v>2619</v>
      </c>
      <c r="C204" s="1">
        <v>-300000</v>
      </c>
      <c r="F204" s="1">
        <v>300000</v>
      </c>
    </row>
    <row r="205" spans="1:28" ht="16.5" customHeight="1" x14ac:dyDescent="0.25">
      <c r="A205" s="325"/>
    </row>
    <row r="206" spans="1:28" ht="16.5" customHeight="1" x14ac:dyDescent="0.25">
      <c r="A206" s="325"/>
    </row>
    <row r="208" spans="1:28" s="3" customFormat="1" ht="16.5" customHeight="1" x14ac:dyDescent="0.25">
      <c r="A208" s="253" t="s">
        <v>2483</v>
      </c>
      <c r="C208" s="3">
        <f>SUM(C185:C207)</f>
        <v>1462656</v>
      </c>
      <c r="D208" s="3">
        <f t="shared" ref="D208:AB208" si="16">SUM(D185:D207)</f>
        <v>0</v>
      </c>
      <c r="E208" s="3">
        <f t="shared" si="16"/>
        <v>0</v>
      </c>
      <c r="F208" s="3">
        <f t="shared" si="16"/>
        <v>3400000</v>
      </c>
      <c r="G208" s="3">
        <f t="shared" si="16"/>
        <v>0</v>
      </c>
      <c r="H208" s="3">
        <f t="shared" si="16"/>
        <v>2159985</v>
      </c>
      <c r="I208" s="3">
        <f t="shared" si="16"/>
        <v>19394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1272000</v>
      </c>
      <c r="P208" s="3">
        <f t="shared" si="16"/>
        <v>3200000</v>
      </c>
      <c r="Q208" s="3">
        <f t="shared" si="16"/>
        <v>0</v>
      </c>
      <c r="R208" s="3">
        <f t="shared" si="16"/>
        <v>0</v>
      </c>
      <c r="S208" s="3">
        <f t="shared" si="16"/>
        <v>45742321</v>
      </c>
      <c r="T208" s="3">
        <f t="shared" si="16"/>
        <v>0</v>
      </c>
      <c r="U208" s="3">
        <f t="shared" si="16"/>
        <v>2696950</v>
      </c>
      <c r="V208" s="3">
        <f t="shared" si="16"/>
        <v>520000</v>
      </c>
      <c r="W208" s="3">
        <f t="shared" si="16"/>
        <v>200000</v>
      </c>
      <c r="X208" s="3">
        <f t="shared" si="16"/>
        <v>4825521</v>
      </c>
      <c r="Y208" s="3">
        <f t="shared" si="16"/>
        <v>502500</v>
      </c>
      <c r="Z208" s="3">
        <f t="shared" si="16"/>
        <v>450000</v>
      </c>
      <c r="AA208" s="3">
        <f>SUM(AA185:AA207)</f>
        <v>4400000</v>
      </c>
      <c r="AB208" s="3">
        <f t="shared" si="16"/>
        <v>0</v>
      </c>
    </row>
  </sheetData>
  <mergeCells count="48">
    <mergeCell ref="F183:G183"/>
    <mergeCell ref="M183:O183"/>
    <mergeCell ref="P183:Q183"/>
    <mergeCell ref="T183:X183"/>
    <mergeCell ref="F121:G121"/>
    <mergeCell ref="M121:O121"/>
    <mergeCell ref="P121:Q121"/>
    <mergeCell ref="T121:X121"/>
    <mergeCell ref="F160:G160"/>
    <mergeCell ref="M160:O160"/>
    <mergeCell ref="P160:Q160"/>
    <mergeCell ref="T160:X160"/>
    <mergeCell ref="F141:G141"/>
    <mergeCell ref="T97:X97"/>
    <mergeCell ref="M141:O141"/>
    <mergeCell ref="P141:Q141"/>
    <mergeCell ref="T141:X141"/>
    <mergeCell ref="T39:X39"/>
    <mergeCell ref="T58:X58"/>
    <mergeCell ref="T68:X68"/>
    <mergeCell ref="T78:X78"/>
    <mergeCell ref="T1:X1"/>
    <mergeCell ref="T12:X12"/>
    <mergeCell ref="T29:X29"/>
    <mergeCell ref="F97:G97"/>
    <mergeCell ref="M97:O97"/>
    <mergeCell ref="P97:Q97"/>
    <mergeCell ref="M12:O12"/>
    <mergeCell ref="M1:O1"/>
    <mergeCell ref="F58:G58"/>
    <mergeCell ref="M58:O58"/>
    <mergeCell ref="P1:Q1"/>
    <mergeCell ref="P29:Q29"/>
    <mergeCell ref="P12:Q12"/>
    <mergeCell ref="F1:G1"/>
    <mergeCell ref="F12:G12"/>
    <mergeCell ref="F29:G29"/>
    <mergeCell ref="M29:O29"/>
    <mergeCell ref="F78:G78"/>
    <mergeCell ref="M78:O78"/>
    <mergeCell ref="P78:Q78"/>
    <mergeCell ref="P68:Q68"/>
    <mergeCell ref="P39:Q39"/>
    <mergeCell ref="P58:Q58"/>
    <mergeCell ref="F39:G39"/>
    <mergeCell ref="M39:O39"/>
    <mergeCell ref="F68:G68"/>
    <mergeCell ref="M68:O6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3"/>
  <sheetViews>
    <sheetView workbookViewId="0">
      <pane xSplit="3" ySplit="2" topLeftCell="D174" activePane="bottomRight" state="frozen"/>
      <selection pane="topRight" activeCell="D1" sqref="D1"/>
      <selection pane="bottomLeft" activeCell="A3" sqref="A3"/>
      <selection pane="bottomRight" activeCell="C193" sqref="C193"/>
    </sheetView>
  </sheetViews>
  <sheetFormatPr defaultRowHeight="16.5" customHeight="1" x14ac:dyDescent="0.25"/>
  <cols>
    <col min="1" max="1" width="11.5703125" style="286" customWidth="1"/>
    <col min="2" max="2" width="99.85546875" style="1" bestFit="1" customWidth="1"/>
    <col min="3" max="3" width="12.28515625" style="1" bestFit="1" customWidth="1"/>
    <col min="4" max="4" width="23.42578125" style="1" customWidth="1"/>
    <col min="5" max="5" width="13.5703125" style="1" bestFit="1" customWidth="1"/>
    <col min="6" max="8" width="16.28515625" style="1" customWidth="1"/>
    <col min="9" max="9" width="13.28515625" style="1" customWidth="1"/>
    <col min="10" max="10" width="17" style="1" customWidth="1"/>
    <col min="11" max="11" width="25.7109375" style="1" customWidth="1"/>
    <col min="12" max="12" width="14.28515625" style="1" customWidth="1"/>
    <col min="13" max="14" width="15" style="1" customWidth="1"/>
    <col min="15" max="15" width="20.42578125" style="1" bestFit="1" customWidth="1"/>
    <col min="16" max="16" width="29.140625" style="1" bestFit="1" customWidth="1"/>
    <col min="17" max="17" width="20.42578125" style="1" bestFit="1" customWidth="1"/>
    <col min="18" max="18" width="17.28515625" style="1" bestFit="1" customWidth="1"/>
    <col min="19" max="19" width="11.5703125" style="1" bestFit="1" customWidth="1"/>
    <col min="20" max="20" width="26.140625" style="1" bestFit="1" customWidth="1"/>
    <col min="21" max="21" width="10.5703125" style="1" bestFit="1" customWidth="1"/>
    <col min="22" max="22" width="36.28515625" style="1" bestFit="1" customWidth="1"/>
    <col min="23" max="23" width="37" style="1" bestFit="1" customWidth="1"/>
    <col min="24" max="24" width="28.140625" style="1" bestFit="1" customWidth="1"/>
    <col min="25" max="25" width="29.140625" style="1" bestFit="1" customWidth="1"/>
    <col min="26" max="26" width="29.140625" style="1" customWidth="1"/>
    <col min="27" max="27" width="29.42578125" style="1" bestFit="1" customWidth="1"/>
    <col min="28" max="28" width="23.85546875" style="1" bestFit="1" customWidth="1"/>
    <col min="29" max="16384" width="9.140625" style="1"/>
  </cols>
  <sheetData>
    <row r="1" spans="1:28" ht="16.5" hidden="1" customHeight="1" x14ac:dyDescent="0.25">
      <c r="F1" s="378" t="s">
        <v>28</v>
      </c>
      <c r="G1" s="378"/>
      <c r="H1" s="286"/>
      <c r="M1" s="378" t="s">
        <v>77</v>
      </c>
      <c r="N1" s="378"/>
      <c r="O1" s="378"/>
      <c r="P1" s="378" t="s">
        <v>65</v>
      </c>
      <c r="Q1" s="378"/>
      <c r="T1" s="378" t="s">
        <v>90</v>
      </c>
      <c r="U1" s="378"/>
      <c r="V1" s="378"/>
      <c r="W1" s="378"/>
      <c r="X1" s="378"/>
    </row>
    <row r="2" spans="1:28" s="286" customFormat="1" ht="16.5" customHeight="1" x14ac:dyDescent="0.25">
      <c r="A2" s="286" t="s">
        <v>0</v>
      </c>
      <c r="B2" s="286" t="s">
        <v>5</v>
      </c>
      <c r="C2" s="286" t="s">
        <v>27</v>
      </c>
      <c r="D2" s="286" t="s">
        <v>81</v>
      </c>
      <c r="E2" s="286" t="s">
        <v>1359</v>
      </c>
      <c r="F2" s="286" t="s">
        <v>27</v>
      </c>
      <c r="G2" s="286" t="s">
        <v>81</v>
      </c>
      <c r="H2" s="286" t="s">
        <v>281</v>
      </c>
      <c r="I2" s="286" t="s">
        <v>40</v>
      </c>
      <c r="J2" s="286" t="s">
        <v>49</v>
      </c>
      <c r="K2" s="286" t="s">
        <v>643</v>
      </c>
      <c r="L2" s="286" t="s">
        <v>60</v>
      </c>
      <c r="M2" s="286" t="s">
        <v>256</v>
      </c>
      <c r="N2" s="286" t="s">
        <v>673</v>
      </c>
      <c r="O2" s="286" t="s">
        <v>438</v>
      </c>
      <c r="P2" s="286" t="s">
        <v>256</v>
      </c>
      <c r="Q2" s="286" t="s">
        <v>438</v>
      </c>
      <c r="R2" s="286" t="s">
        <v>330</v>
      </c>
      <c r="S2" s="286" t="s">
        <v>917</v>
      </c>
      <c r="T2" s="286" t="s">
        <v>1343</v>
      </c>
      <c r="U2" s="286" t="s">
        <v>613</v>
      </c>
      <c r="V2" s="286" t="s">
        <v>314</v>
      </c>
      <c r="W2" s="11" t="s">
        <v>329</v>
      </c>
      <c r="X2" s="286" t="s">
        <v>537</v>
      </c>
      <c r="Y2" s="286" t="s">
        <v>257</v>
      </c>
      <c r="Z2" s="286" t="s">
        <v>901</v>
      </c>
      <c r="AA2" s="286" t="s">
        <v>536</v>
      </c>
      <c r="AB2" s="286" t="s">
        <v>1645</v>
      </c>
    </row>
    <row r="3" spans="1:28" ht="16.5" customHeight="1" x14ac:dyDescent="0.25">
      <c r="A3" s="286" t="s">
        <v>1</v>
      </c>
      <c r="B3" s="18" t="s">
        <v>2</v>
      </c>
      <c r="C3" s="286">
        <v>1587187</v>
      </c>
      <c r="D3" s="286">
        <v>4746.92</v>
      </c>
      <c r="E3" s="286"/>
      <c r="J3" s="286"/>
      <c r="K3" s="286"/>
    </row>
    <row r="4" spans="1:28" ht="16.5" customHeight="1" x14ac:dyDescent="0.25">
      <c r="A4" s="286" t="s">
        <v>3</v>
      </c>
      <c r="B4" s="18" t="s">
        <v>643</v>
      </c>
      <c r="C4" s="286">
        <v>-200000</v>
      </c>
      <c r="D4" s="286"/>
      <c r="E4" s="286"/>
      <c r="F4" s="286"/>
      <c r="G4" s="286"/>
      <c r="H4" s="286"/>
      <c r="J4" s="286"/>
      <c r="K4" s="286">
        <v>200000</v>
      </c>
    </row>
    <row r="5" spans="1:28" ht="16.5" customHeight="1" x14ac:dyDescent="0.25">
      <c r="A5" s="286" t="s">
        <v>17</v>
      </c>
      <c r="B5" s="18" t="s">
        <v>300</v>
      </c>
      <c r="C5" s="1">
        <v>-150000</v>
      </c>
      <c r="F5" s="1">
        <v>150000</v>
      </c>
    </row>
    <row r="6" spans="1:28" ht="16.5" customHeight="1" x14ac:dyDescent="0.25">
      <c r="A6" s="286" t="s">
        <v>9</v>
      </c>
      <c r="B6" s="18" t="s">
        <v>301</v>
      </c>
      <c r="C6" s="1">
        <v>-200000</v>
      </c>
      <c r="F6" s="1">
        <v>200000</v>
      </c>
    </row>
    <row r="7" spans="1:28" ht="16.5" customHeight="1" x14ac:dyDescent="0.25">
      <c r="A7" s="286" t="s">
        <v>31</v>
      </c>
      <c r="B7" s="18" t="s">
        <v>302</v>
      </c>
      <c r="C7" s="1">
        <v>-500000</v>
      </c>
      <c r="F7" s="1">
        <v>500000</v>
      </c>
    </row>
    <row r="8" spans="1:28" ht="16.5" customHeight="1" x14ac:dyDescent="0.25">
      <c r="A8" s="286" t="s">
        <v>31</v>
      </c>
      <c r="B8" s="18" t="s">
        <v>40</v>
      </c>
      <c r="D8" s="1">
        <v>-1310</v>
      </c>
      <c r="I8" s="1">
        <v>1310</v>
      </c>
    </row>
    <row r="9" spans="1:28" ht="16.5" customHeight="1" x14ac:dyDescent="0.25">
      <c r="A9" s="286" t="s">
        <v>33</v>
      </c>
      <c r="B9" s="18" t="s">
        <v>40</v>
      </c>
      <c r="C9" s="1">
        <v>-60</v>
      </c>
      <c r="I9" s="1">
        <v>60</v>
      </c>
    </row>
    <row r="10" spans="1:28" ht="16.5" customHeight="1" x14ac:dyDescent="0.25">
      <c r="A10" s="286" t="s">
        <v>33</v>
      </c>
      <c r="B10" s="18" t="s">
        <v>49</v>
      </c>
      <c r="C10" s="1">
        <v>500000</v>
      </c>
      <c r="J10" s="1">
        <v>500000</v>
      </c>
    </row>
    <row r="11" spans="1:28" s="4" customFormat="1" ht="16.5" customHeight="1" x14ac:dyDescent="0.25">
      <c r="A11" s="287"/>
      <c r="B11" s="32"/>
      <c r="C11" s="4">
        <f>SUM(C3:C10)</f>
        <v>1037127</v>
      </c>
      <c r="D11" s="4">
        <f>SUM(D3:D10)</f>
        <v>3436.92</v>
      </c>
      <c r="F11" s="4">
        <f>SUM(F2:F10)</f>
        <v>850000</v>
      </c>
      <c r="I11" s="4">
        <f t="shared" ref="I11:R11" si="0">SUM(I3:I10)</f>
        <v>1370</v>
      </c>
      <c r="J11" s="4">
        <f t="shared" si="0"/>
        <v>500000</v>
      </c>
      <c r="K11" s="4">
        <f t="shared" si="0"/>
        <v>200000</v>
      </c>
      <c r="L11" s="4">
        <f t="shared" si="0"/>
        <v>0</v>
      </c>
      <c r="M11" s="4">
        <f t="shared" si="0"/>
        <v>0</v>
      </c>
      <c r="P11" s="4">
        <f t="shared" si="0"/>
        <v>0</v>
      </c>
      <c r="R11" s="4">
        <f t="shared" si="0"/>
        <v>0</v>
      </c>
    </row>
    <row r="12" spans="1:28" s="7" customFormat="1" ht="16.5" customHeight="1" x14ac:dyDescent="0.25">
      <c r="A12" s="11"/>
      <c r="B12" s="41"/>
      <c r="F12" s="378" t="s">
        <v>28</v>
      </c>
      <c r="G12" s="378"/>
      <c r="H12" s="286"/>
      <c r="M12" s="378" t="s">
        <v>77</v>
      </c>
      <c r="N12" s="378"/>
      <c r="O12" s="378"/>
      <c r="P12" s="378" t="s">
        <v>65</v>
      </c>
      <c r="Q12" s="378"/>
      <c r="T12" s="378" t="s">
        <v>90</v>
      </c>
      <c r="U12" s="378"/>
      <c r="V12" s="378"/>
      <c r="W12" s="378"/>
      <c r="X12" s="378"/>
    </row>
    <row r="13" spans="1:28" s="286" customFormat="1" ht="16.5" customHeight="1" x14ac:dyDescent="0.25">
      <c r="A13" s="286" t="s">
        <v>0</v>
      </c>
      <c r="B13" s="286" t="s">
        <v>5</v>
      </c>
      <c r="C13" s="286" t="s">
        <v>89</v>
      </c>
      <c r="D13" s="286" t="s">
        <v>81</v>
      </c>
      <c r="E13" s="286" t="s">
        <v>1359</v>
      </c>
      <c r="F13" s="286" t="s">
        <v>27</v>
      </c>
      <c r="G13" s="286" t="s">
        <v>81</v>
      </c>
      <c r="H13" s="286" t="s">
        <v>281</v>
      </c>
      <c r="I13" s="286" t="s">
        <v>40</v>
      </c>
      <c r="J13" s="286" t="s">
        <v>49</v>
      </c>
      <c r="K13" s="286" t="s">
        <v>643</v>
      </c>
      <c r="L13" s="286" t="s">
        <v>60</v>
      </c>
      <c r="M13" s="286" t="s">
        <v>256</v>
      </c>
      <c r="N13" s="286" t="s">
        <v>673</v>
      </c>
      <c r="O13" s="286" t="s">
        <v>438</v>
      </c>
      <c r="P13" s="286" t="s">
        <v>256</v>
      </c>
      <c r="Q13" s="286" t="s">
        <v>438</v>
      </c>
      <c r="R13" s="286" t="s">
        <v>330</v>
      </c>
      <c r="S13" s="286" t="s">
        <v>917</v>
      </c>
      <c r="T13" s="286" t="s">
        <v>1343</v>
      </c>
      <c r="U13" s="286" t="s">
        <v>613</v>
      </c>
      <c r="V13" s="286" t="s">
        <v>314</v>
      </c>
      <c r="W13" s="11" t="s">
        <v>329</v>
      </c>
      <c r="X13" s="286" t="s">
        <v>537</v>
      </c>
      <c r="Y13" s="286" t="s">
        <v>257</v>
      </c>
      <c r="Z13" s="286" t="s">
        <v>901</v>
      </c>
      <c r="AA13" s="286" t="s">
        <v>536</v>
      </c>
      <c r="AB13" s="286" t="s">
        <v>1645</v>
      </c>
    </row>
    <row r="14" spans="1:28" ht="16.5" customHeight="1" x14ac:dyDescent="0.25">
      <c r="A14" s="286" t="s">
        <v>43</v>
      </c>
      <c r="B14" s="18" t="s">
        <v>2</v>
      </c>
      <c r="C14" s="1">
        <f>C11</f>
        <v>1037127</v>
      </c>
      <c r="D14" s="1">
        <f>D11</f>
        <v>3436.92</v>
      </c>
      <c r="K14" s="1">
        <f>K11</f>
        <v>200000</v>
      </c>
    </row>
    <row r="15" spans="1:28" ht="16.5" customHeight="1" x14ac:dyDescent="0.25">
      <c r="A15" s="286" t="s">
        <v>53</v>
      </c>
      <c r="B15" s="18" t="s">
        <v>299</v>
      </c>
      <c r="C15" s="1">
        <v>-500000</v>
      </c>
      <c r="F15" s="1">
        <v>500000</v>
      </c>
    </row>
    <row r="16" spans="1:28" ht="16.5" customHeight="1" x14ac:dyDescent="0.25">
      <c r="A16" s="286" t="s">
        <v>196</v>
      </c>
      <c r="B16" s="18" t="s">
        <v>40</v>
      </c>
      <c r="C16" s="1">
        <v>-60</v>
      </c>
      <c r="I16" s="1">
        <v>60</v>
      </c>
    </row>
    <row r="17" spans="1:28" ht="16.5" customHeight="1" x14ac:dyDescent="0.25">
      <c r="A17" s="286" t="s">
        <v>196</v>
      </c>
      <c r="B17" s="18" t="s">
        <v>49</v>
      </c>
      <c r="C17" s="1">
        <v>800000</v>
      </c>
      <c r="J17" s="1">
        <v>800000</v>
      </c>
    </row>
    <row r="18" spans="1:28" ht="16.5" customHeight="1" x14ac:dyDescent="0.25">
      <c r="A18" s="286" t="s">
        <v>254</v>
      </c>
      <c r="B18" s="18" t="s">
        <v>40</v>
      </c>
      <c r="C18" s="1">
        <v>-60</v>
      </c>
      <c r="I18" s="1">
        <v>60</v>
      </c>
    </row>
    <row r="19" spans="1:28" s="4" customFormat="1" ht="16.5" customHeight="1" x14ac:dyDescent="0.25">
      <c r="A19" s="287" t="s">
        <v>255</v>
      </c>
      <c r="B19" s="32" t="s">
        <v>61</v>
      </c>
      <c r="C19" s="4">
        <v>1536500</v>
      </c>
      <c r="L19" s="4">
        <v>1536500</v>
      </c>
    </row>
    <row r="20" spans="1:28" ht="16.5" customHeight="1" x14ac:dyDescent="0.25">
      <c r="A20" s="286" t="s">
        <v>64</v>
      </c>
      <c r="B20" s="18" t="s">
        <v>298</v>
      </c>
      <c r="C20" s="1">
        <v>-450000</v>
      </c>
      <c r="F20" s="1">
        <v>450000</v>
      </c>
    </row>
    <row r="21" spans="1:28" ht="16.5" customHeight="1" x14ac:dyDescent="0.25">
      <c r="A21" s="286" t="s">
        <v>73</v>
      </c>
      <c r="B21" s="18" t="s">
        <v>49</v>
      </c>
      <c r="C21" s="1">
        <v>700000</v>
      </c>
      <c r="J21" s="1">
        <v>700000</v>
      </c>
    </row>
    <row r="22" spans="1:28" ht="16.5" customHeight="1" x14ac:dyDescent="0.25">
      <c r="A22" s="286" t="s">
        <v>73</v>
      </c>
      <c r="B22" s="18" t="s">
        <v>40</v>
      </c>
      <c r="C22" s="1">
        <v>-60</v>
      </c>
      <c r="I22" s="1">
        <v>60</v>
      </c>
    </row>
    <row r="23" spans="1:28" ht="16.5" customHeight="1" x14ac:dyDescent="0.25">
      <c r="A23" s="286" t="s">
        <v>85</v>
      </c>
      <c r="B23" s="18" t="s">
        <v>569</v>
      </c>
      <c r="C23" s="1">
        <v>5550000</v>
      </c>
      <c r="M23" s="1">
        <f>C23</f>
        <v>5550000</v>
      </c>
    </row>
    <row r="24" spans="1:28" ht="16.5" customHeight="1" x14ac:dyDescent="0.25">
      <c r="A24" s="286" t="s">
        <v>85</v>
      </c>
      <c r="B24" s="18" t="s">
        <v>569</v>
      </c>
      <c r="C24" s="1">
        <v>3278000</v>
      </c>
      <c r="M24" s="1">
        <f>C24</f>
        <v>3278000</v>
      </c>
    </row>
    <row r="25" spans="1:28" ht="16.5" customHeight="1" x14ac:dyDescent="0.25">
      <c r="A25" s="286" t="s">
        <v>85</v>
      </c>
      <c r="B25" s="18" t="s">
        <v>1646</v>
      </c>
      <c r="C25" s="1">
        <v>-10451000</v>
      </c>
      <c r="AB25" s="1">
        <v>10451000</v>
      </c>
    </row>
    <row r="26" spans="1:28" ht="16.5" customHeight="1" x14ac:dyDescent="0.25">
      <c r="A26" s="286" t="s">
        <v>258</v>
      </c>
      <c r="B26" s="18" t="s">
        <v>40</v>
      </c>
      <c r="C26" s="1">
        <f>-15-100-75-500</f>
        <v>-690</v>
      </c>
      <c r="I26" s="1">
        <v>690</v>
      </c>
    </row>
    <row r="27" spans="1:28" s="4" customFormat="1" ht="16.5" customHeight="1" x14ac:dyDescent="0.25">
      <c r="A27" s="287"/>
      <c r="B27" s="32"/>
      <c r="C27" s="4">
        <f>SUM(C14:C26)</f>
        <v>1499757</v>
      </c>
      <c r="D27" s="4">
        <f t="shared" ref="D27:AB27" si="1">SUM(D14:D26)</f>
        <v>3436.92</v>
      </c>
      <c r="E27" s="4">
        <f t="shared" si="1"/>
        <v>0</v>
      </c>
      <c r="F27" s="4">
        <f t="shared" si="1"/>
        <v>950000</v>
      </c>
      <c r="G27" s="4">
        <f t="shared" si="1"/>
        <v>0</v>
      </c>
      <c r="H27" s="4">
        <f t="shared" si="1"/>
        <v>0</v>
      </c>
      <c r="I27" s="4">
        <f t="shared" si="1"/>
        <v>870</v>
      </c>
      <c r="J27" s="4">
        <f t="shared" si="1"/>
        <v>1500000</v>
      </c>
      <c r="K27" s="4">
        <f t="shared" si="1"/>
        <v>200000</v>
      </c>
      <c r="L27" s="4">
        <f t="shared" si="1"/>
        <v>1536500</v>
      </c>
      <c r="M27" s="4">
        <f t="shared" si="1"/>
        <v>8828000</v>
      </c>
      <c r="N27" s="4">
        <f t="shared" si="1"/>
        <v>0</v>
      </c>
      <c r="O27" s="4">
        <f t="shared" si="1"/>
        <v>0</v>
      </c>
      <c r="P27" s="4">
        <f t="shared" si="1"/>
        <v>0</v>
      </c>
      <c r="Q27" s="4">
        <f t="shared" si="1"/>
        <v>0</v>
      </c>
      <c r="R27" s="4">
        <f t="shared" si="1"/>
        <v>0</v>
      </c>
      <c r="S27" s="4">
        <f t="shared" si="1"/>
        <v>0</v>
      </c>
      <c r="T27" s="4">
        <f t="shared" si="1"/>
        <v>0</v>
      </c>
      <c r="V27" s="4">
        <f t="shared" si="1"/>
        <v>0</v>
      </c>
      <c r="W27" s="4">
        <f t="shared" si="1"/>
        <v>0</v>
      </c>
      <c r="X27" s="4">
        <f t="shared" si="1"/>
        <v>0</v>
      </c>
      <c r="Y27" s="4">
        <f t="shared" si="1"/>
        <v>0</v>
      </c>
      <c r="Z27" s="4">
        <f t="shared" si="1"/>
        <v>0</v>
      </c>
      <c r="AA27" s="4">
        <f t="shared" si="1"/>
        <v>0</v>
      </c>
      <c r="AB27" s="4">
        <f t="shared" si="1"/>
        <v>10451000</v>
      </c>
    </row>
    <row r="28" spans="1:28" s="7" customFormat="1" ht="16.5" customHeight="1" x14ac:dyDescent="0.25">
      <c r="A28" s="11"/>
      <c r="B28" s="41"/>
    </row>
    <row r="29" spans="1:28" s="7" customFormat="1" ht="16.5" customHeight="1" x14ac:dyDescent="0.25">
      <c r="A29" s="11"/>
      <c r="B29" s="41"/>
      <c r="F29" s="378" t="s">
        <v>28</v>
      </c>
      <c r="G29" s="378"/>
      <c r="H29" s="286"/>
      <c r="M29" s="378" t="s">
        <v>77</v>
      </c>
      <c r="N29" s="378"/>
      <c r="O29" s="378"/>
      <c r="P29" s="378" t="s">
        <v>65</v>
      </c>
      <c r="Q29" s="378"/>
      <c r="T29" s="378" t="s">
        <v>90</v>
      </c>
      <c r="U29" s="378"/>
      <c r="V29" s="378"/>
      <c r="W29" s="378"/>
      <c r="X29" s="378"/>
    </row>
    <row r="30" spans="1:28" s="286" customFormat="1" ht="16.5" customHeight="1" x14ac:dyDescent="0.25">
      <c r="A30" s="286" t="s">
        <v>0</v>
      </c>
      <c r="B30" s="286" t="s">
        <v>5</v>
      </c>
      <c r="C30" s="286" t="s">
        <v>89</v>
      </c>
      <c r="D30" s="286" t="s">
        <v>81</v>
      </c>
      <c r="E30" s="286" t="s">
        <v>1359</v>
      </c>
      <c r="F30" s="286" t="s">
        <v>27</v>
      </c>
      <c r="G30" s="286" t="s">
        <v>81</v>
      </c>
      <c r="H30" s="286" t="s">
        <v>281</v>
      </c>
      <c r="I30" s="286" t="s">
        <v>40</v>
      </c>
      <c r="J30" s="286" t="s">
        <v>49</v>
      </c>
      <c r="K30" s="286" t="s">
        <v>643</v>
      </c>
      <c r="L30" s="286" t="s">
        <v>60</v>
      </c>
      <c r="M30" s="286" t="s">
        <v>256</v>
      </c>
      <c r="N30" s="286" t="s">
        <v>673</v>
      </c>
      <c r="O30" s="286" t="s">
        <v>438</v>
      </c>
      <c r="P30" s="286" t="s">
        <v>256</v>
      </c>
      <c r="Q30" s="286" t="s">
        <v>438</v>
      </c>
      <c r="R30" s="286" t="s">
        <v>330</v>
      </c>
      <c r="S30" s="286" t="s">
        <v>917</v>
      </c>
      <c r="T30" s="286" t="s">
        <v>1343</v>
      </c>
      <c r="U30" s="286" t="s">
        <v>613</v>
      </c>
      <c r="V30" s="286" t="s">
        <v>314</v>
      </c>
      <c r="W30" s="11" t="s">
        <v>329</v>
      </c>
      <c r="X30" s="286" t="s">
        <v>537</v>
      </c>
      <c r="Y30" s="286" t="s">
        <v>257</v>
      </c>
      <c r="Z30" s="286" t="s">
        <v>901</v>
      </c>
      <c r="AA30" s="286" t="s">
        <v>536</v>
      </c>
      <c r="AB30" s="286" t="s">
        <v>1645</v>
      </c>
    </row>
    <row r="31" spans="1:28" ht="16.5" customHeight="1" x14ac:dyDescent="0.25">
      <c r="A31" s="286" t="s">
        <v>97</v>
      </c>
      <c r="B31" s="18" t="s">
        <v>2</v>
      </c>
      <c r="C31" s="286">
        <f>C27</f>
        <v>1499757</v>
      </c>
      <c r="D31" s="286">
        <f>D27</f>
        <v>3436.92</v>
      </c>
      <c r="E31" s="286"/>
      <c r="J31" s="286"/>
      <c r="K31" s="18">
        <f>K27</f>
        <v>200000</v>
      </c>
      <c r="M31" s="286"/>
      <c r="N31" s="286"/>
      <c r="O31" s="286"/>
      <c r="P31" s="18"/>
      <c r="Q31" s="18"/>
      <c r="R31" s="286"/>
      <c r="S31" s="286"/>
      <c r="T31" s="286"/>
      <c r="U31" s="286"/>
    </row>
    <row r="32" spans="1:28" ht="16.5" customHeight="1" x14ac:dyDescent="0.25">
      <c r="A32" s="1" t="s">
        <v>219</v>
      </c>
      <c r="B32" s="7" t="s">
        <v>286</v>
      </c>
      <c r="C32" s="286">
        <v>-750000</v>
      </c>
      <c r="F32" s="1">
        <v>750000</v>
      </c>
    </row>
    <row r="33" spans="1:28" ht="16.5" customHeight="1" x14ac:dyDescent="0.25">
      <c r="A33" s="1" t="s">
        <v>235</v>
      </c>
      <c r="B33" s="7" t="s">
        <v>287</v>
      </c>
      <c r="C33" s="286">
        <v>-300000</v>
      </c>
      <c r="F33" s="1">
        <v>300000</v>
      </c>
    </row>
    <row r="34" spans="1:28" ht="16.5" customHeight="1" x14ac:dyDescent="0.25">
      <c r="A34" s="1" t="s">
        <v>240</v>
      </c>
      <c r="B34" s="18" t="s">
        <v>330</v>
      </c>
      <c r="C34" s="1">
        <v>5150948</v>
      </c>
      <c r="R34" s="1">
        <f>C34</f>
        <v>5150948</v>
      </c>
    </row>
    <row r="35" spans="1:28" ht="16.5" customHeight="1" x14ac:dyDescent="0.25">
      <c r="A35" s="1" t="s">
        <v>263</v>
      </c>
      <c r="B35" s="7" t="s">
        <v>288</v>
      </c>
      <c r="C35" s="1">
        <v>-200000</v>
      </c>
      <c r="F35" s="1">
        <v>200000</v>
      </c>
    </row>
    <row r="36" spans="1:28" ht="16.5" customHeight="1" x14ac:dyDescent="0.25">
      <c r="A36" s="1" t="s">
        <v>315</v>
      </c>
      <c r="B36" s="7" t="s">
        <v>329</v>
      </c>
      <c r="C36" s="1">
        <v>-200000</v>
      </c>
      <c r="W36" s="1">
        <v>200000</v>
      </c>
    </row>
    <row r="37" spans="1:28" ht="16.5" customHeight="1" x14ac:dyDescent="0.25">
      <c r="A37" s="286" t="s">
        <v>313</v>
      </c>
      <c r="B37" s="18" t="s">
        <v>314</v>
      </c>
      <c r="C37" s="1">
        <v>-520000</v>
      </c>
      <c r="V37" s="1">
        <v>520000</v>
      </c>
    </row>
    <row r="38" spans="1:28" ht="16.5" customHeight="1" x14ac:dyDescent="0.25">
      <c r="B38" s="18"/>
      <c r="C38" s="4">
        <f t="shared" ref="C38:W38" si="2">SUM(C31:C37)</f>
        <v>4680705</v>
      </c>
      <c r="D38" s="4">
        <f t="shared" si="2"/>
        <v>3436.92</v>
      </c>
      <c r="E38" s="4"/>
      <c r="F38" s="4">
        <f>SUM(F30:F37)</f>
        <v>1250000</v>
      </c>
      <c r="G38" s="4"/>
      <c r="H38" s="4"/>
      <c r="I38" s="4">
        <f t="shared" si="2"/>
        <v>0</v>
      </c>
      <c r="J38" s="4">
        <f t="shared" si="2"/>
        <v>0</v>
      </c>
      <c r="K38" s="4">
        <f t="shared" si="2"/>
        <v>200000</v>
      </c>
      <c r="L38" s="4">
        <f t="shared" si="2"/>
        <v>0</v>
      </c>
      <c r="M38" s="4">
        <f t="shared" si="2"/>
        <v>0</v>
      </c>
      <c r="N38" s="4"/>
      <c r="O38" s="4"/>
      <c r="P38" s="4">
        <f t="shared" si="2"/>
        <v>0</v>
      </c>
      <c r="Q38" s="4"/>
      <c r="R38" s="4">
        <f t="shared" si="2"/>
        <v>5150948</v>
      </c>
      <c r="S38" s="4"/>
      <c r="T38" s="4"/>
      <c r="U38" s="4"/>
      <c r="V38" s="4">
        <f t="shared" si="2"/>
        <v>520000</v>
      </c>
      <c r="W38" s="4">
        <f t="shared" si="2"/>
        <v>200000</v>
      </c>
    </row>
    <row r="39" spans="1:28" ht="16.5" customHeight="1" x14ac:dyDescent="0.25">
      <c r="A39" s="286" t="s">
        <v>533</v>
      </c>
      <c r="B39" s="18"/>
      <c r="F39" s="378" t="s">
        <v>28</v>
      </c>
      <c r="G39" s="378"/>
      <c r="H39" s="286"/>
      <c r="M39" s="378" t="s">
        <v>77</v>
      </c>
      <c r="N39" s="378"/>
      <c r="O39" s="378"/>
      <c r="P39" s="378" t="s">
        <v>65</v>
      </c>
      <c r="Q39" s="378"/>
      <c r="T39" s="378" t="s">
        <v>90</v>
      </c>
      <c r="U39" s="378"/>
      <c r="V39" s="378"/>
      <c r="W39" s="378"/>
      <c r="X39" s="378"/>
    </row>
    <row r="40" spans="1:28" s="286" customFormat="1" ht="16.5" customHeight="1" x14ac:dyDescent="0.25">
      <c r="A40" s="286" t="s">
        <v>0</v>
      </c>
      <c r="B40" s="286" t="s">
        <v>5</v>
      </c>
      <c r="C40" s="286" t="s">
        <v>27</v>
      </c>
      <c r="D40" s="286" t="s">
        <v>81</v>
      </c>
      <c r="E40" s="286" t="s">
        <v>1359</v>
      </c>
      <c r="F40" s="286" t="s">
        <v>27</v>
      </c>
      <c r="G40" s="286" t="s">
        <v>81</v>
      </c>
      <c r="H40" s="286" t="s">
        <v>281</v>
      </c>
      <c r="I40" s="286" t="s">
        <v>40</v>
      </c>
      <c r="J40" s="286" t="s">
        <v>49</v>
      </c>
      <c r="K40" s="286" t="s">
        <v>643</v>
      </c>
      <c r="L40" s="286" t="s">
        <v>60</v>
      </c>
      <c r="M40" s="286" t="s">
        <v>256</v>
      </c>
      <c r="N40" s="286" t="s">
        <v>673</v>
      </c>
      <c r="O40" s="286" t="s">
        <v>438</v>
      </c>
      <c r="P40" s="286" t="s">
        <v>256</v>
      </c>
      <c r="Q40" s="286" t="s">
        <v>438</v>
      </c>
      <c r="R40" s="286" t="s">
        <v>330</v>
      </c>
      <c r="S40" s="286" t="s">
        <v>917</v>
      </c>
      <c r="T40" s="286" t="s">
        <v>1343</v>
      </c>
      <c r="U40" s="286" t="s">
        <v>613</v>
      </c>
      <c r="V40" s="286" t="s">
        <v>439</v>
      </c>
      <c r="W40" s="11" t="s">
        <v>440</v>
      </c>
      <c r="X40" s="286" t="s">
        <v>537</v>
      </c>
      <c r="Y40" s="286" t="s">
        <v>257</v>
      </c>
      <c r="Z40" s="286" t="s">
        <v>901</v>
      </c>
      <c r="AA40" s="286" t="s">
        <v>536</v>
      </c>
      <c r="AB40" s="286" t="s">
        <v>1645</v>
      </c>
    </row>
    <row r="41" spans="1:28" ht="16.5" customHeight="1" x14ac:dyDescent="0.25">
      <c r="A41" s="286" t="s">
        <v>328</v>
      </c>
      <c r="B41" s="18" t="s">
        <v>2</v>
      </c>
      <c r="C41" s="3">
        <f>C38</f>
        <v>4680705</v>
      </c>
      <c r="D41" s="3">
        <f>D38</f>
        <v>3436.92</v>
      </c>
      <c r="E41" s="3"/>
      <c r="F41" s="3"/>
      <c r="G41" s="3"/>
      <c r="H41" s="3"/>
      <c r="J41" s="3"/>
      <c r="K41" s="3"/>
      <c r="L41" s="3"/>
      <c r="V41" s="1">
        <f>V38</f>
        <v>520000</v>
      </c>
      <c r="W41" s="1">
        <f>W38</f>
        <v>200000</v>
      </c>
    </row>
    <row r="42" spans="1:28" ht="16.5" customHeight="1" x14ac:dyDescent="0.25">
      <c r="A42" s="286" t="s">
        <v>354</v>
      </c>
      <c r="B42" s="18" t="s">
        <v>464</v>
      </c>
      <c r="C42" s="1">
        <v>500000</v>
      </c>
      <c r="J42" s="1">
        <v>500000</v>
      </c>
    </row>
    <row r="43" spans="1:28" ht="16.5" customHeight="1" x14ac:dyDescent="0.25">
      <c r="A43" s="286" t="s">
        <v>368</v>
      </c>
      <c r="B43" s="1" t="s">
        <v>369</v>
      </c>
      <c r="C43" s="1">
        <v>-600000</v>
      </c>
      <c r="F43" s="1">
        <v>600000</v>
      </c>
    </row>
    <row r="44" spans="1:28" ht="16.5" customHeight="1" x14ac:dyDescent="0.25">
      <c r="A44" s="286" t="s">
        <v>386</v>
      </c>
      <c r="B44" s="1" t="s">
        <v>385</v>
      </c>
      <c r="C44" s="1">
        <v>-300000</v>
      </c>
      <c r="F44" s="1">
        <v>300000</v>
      </c>
    </row>
    <row r="45" spans="1:28" ht="16.5" customHeight="1" x14ac:dyDescent="0.25">
      <c r="A45" s="286" t="s">
        <v>426</v>
      </c>
      <c r="B45" s="1" t="s">
        <v>441</v>
      </c>
      <c r="C45" s="1">
        <v>5000000</v>
      </c>
      <c r="M45" s="1">
        <v>5000000</v>
      </c>
    </row>
    <row r="46" spans="1:28" ht="16.5" customHeight="1" x14ac:dyDescent="0.25">
      <c r="A46" s="286" t="s">
        <v>416</v>
      </c>
      <c r="B46" s="1" t="s">
        <v>685</v>
      </c>
      <c r="C46" s="1">
        <v>-2500000</v>
      </c>
      <c r="P46" s="1">
        <v>2500000</v>
      </c>
    </row>
    <row r="47" spans="1:28" ht="16.5" customHeight="1" x14ac:dyDescent="0.25">
      <c r="A47" s="286" t="s">
        <v>429</v>
      </c>
      <c r="B47" s="1" t="s">
        <v>573</v>
      </c>
      <c r="C47" s="1">
        <v>-3200000</v>
      </c>
      <c r="Y47" s="1">
        <v>3200000</v>
      </c>
    </row>
    <row r="48" spans="1:28" ht="16.5" customHeight="1" x14ac:dyDescent="0.25">
      <c r="A48" s="286" t="s">
        <v>429</v>
      </c>
      <c r="B48" s="1" t="s">
        <v>436</v>
      </c>
      <c r="C48" s="1">
        <v>300000</v>
      </c>
      <c r="O48" s="1">
        <v>300000</v>
      </c>
    </row>
    <row r="49" spans="1:28" ht="15.75" customHeight="1" x14ac:dyDescent="0.25">
      <c r="A49" s="286" t="s">
        <v>435</v>
      </c>
      <c r="B49" s="1" t="s">
        <v>437</v>
      </c>
      <c r="C49" s="1">
        <v>-300000</v>
      </c>
      <c r="Q49" s="1">
        <v>300000</v>
      </c>
    </row>
    <row r="50" spans="1:28" ht="16.5" customHeight="1" x14ac:dyDescent="0.25">
      <c r="A50" s="286" t="s">
        <v>435</v>
      </c>
      <c r="B50" s="18" t="s">
        <v>463</v>
      </c>
      <c r="C50" s="1">
        <v>-1380000</v>
      </c>
      <c r="X50" s="1">
        <v>1380000</v>
      </c>
    </row>
    <row r="51" spans="1:28" ht="16.5" customHeight="1" x14ac:dyDescent="0.25">
      <c r="A51" s="286" t="s">
        <v>435</v>
      </c>
      <c r="B51" s="1" t="s">
        <v>432</v>
      </c>
      <c r="C51" s="1">
        <v>-250000</v>
      </c>
      <c r="F51" s="1">
        <v>250000</v>
      </c>
    </row>
    <row r="52" spans="1:28" ht="16.5" customHeight="1" x14ac:dyDescent="0.25">
      <c r="A52" s="286" t="s">
        <v>458</v>
      </c>
      <c r="B52" s="18" t="s">
        <v>465</v>
      </c>
      <c r="C52" s="1">
        <v>990250</v>
      </c>
      <c r="J52" s="1">
        <v>990250</v>
      </c>
    </row>
    <row r="53" spans="1:28" ht="16.5" customHeight="1" x14ac:dyDescent="0.25">
      <c r="A53" s="286" t="s">
        <v>466</v>
      </c>
      <c r="B53" s="1" t="s">
        <v>467</v>
      </c>
      <c r="C53" s="1">
        <v>-900000</v>
      </c>
      <c r="F53" s="1">
        <v>900000</v>
      </c>
    </row>
    <row r="54" spans="1:28" ht="16.5" customHeight="1" x14ac:dyDescent="0.25">
      <c r="B54" s="18"/>
      <c r="C54" s="3">
        <f t="shared" ref="C54:Y54" si="3">SUM(C41:C53)</f>
        <v>2040955</v>
      </c>
      <c r="D54" s="3">
        <f t="shared" si="3"/>
        <v>3436.92</v>
      </c>
      <c r="E54" s="3"/>
      <c r="F54" s="3">
        <f t="shared" si="3"/>
        <v>2050000</v>
      </c>
      <c r="G54" s="3">
        <f t="shared" si="3"/>
        <v>0</v>
      </c>
      <c r="H54" s="3"/>
      <c r="I54" s="3">
        <f t="shared" si="3"/>
        <v>0</v>
      </c>
      <c r="J54" s="3">
        <f t="shared" si="3"/>
        <v>1490250</v>
      </c>
      <c r="K54" s="3">
        <f t="shared" si="3"/>
        <v>0</v>
      </c>
      <c r="L54" s="3">
        <f t="shared" si="3"/>
        <v>0</v>
      </c>
      <c r="M54" s="3">
        <f t="shared" si="3"/>
        <v>5000000</v>
      </c>
      <c r="N54" s="3"/>
      <c r="O54" s="3">
        <f t="shared" si="3"/>
        <v>300000</v>
      </c>
      <c r="P54" s="3">
        <f t="shared" si="3"/>
        <v>2500000</v>
      </c>
      <c r="Q54" s="3">
        <f t="shared" si="3"/>
        <v>300000</v>
      </c>
      <c r="R54" s="3">
        <f t="shared" si="3"/>
        <v>0</v>
      </c>
      <c r="S54" s="3"/>
      <c r="T54" s="3"/>
      <c r="U54" s="3"/>
      <c r="V54" s="3">
        <f t="shared" si="3"/>
        <v>520000</v>
      </c>
      <c r="W54" s="3">
        <f t="shared" si="3"/>
        <v>200000</v>
      </c>
      <c r="X54" s="3">
        <f t="shared" si="3"/>
        <v>1380000</v>
      </c>
      <c r="Y54" s="3">
        <f t="shared" si="3"/>
        <v>3200000</v>
      </c>
      <c r="Z54" s="3"/>
    </row>
    <row r="55" spans="1:28" ht="16.5" customHeight="1" x14ac:dyDescent="0.25">
      <c r="B55" s="18"/>
    </row>
    <row r="56" spans="1:28" ht="16.5" customHeight="1" x14ac:dyDescent="0.25">
      <c r="B56" s="18"/>
    </row>
    <row r="57" spans="1:28" ht="16.5" customHeight="1" x14ac:dyDescent="0.25">
      <c r="B57" s="18"/>
    </row>
    <row r="58" spans="1:28" ht="16.5" customHeight="1" x14ac:dyDescent="0.25">
      <c r="A58" s="286" t="s">
        <v>533</v>
      </c>
      <c r="B58" s="18"/>
      <c r="F58" s="378" t="s">
        <v>28</v>
      </c>
      <c r="G58" s="378"/>
      <c r="H58" s="286"/>
      <c r="M58" s="378" t="s">
        <v>77</v>
      </c>
      <c r="N58" s="378"/>
      <c r="O58" s="378"/>
      <c r="P58" s="378" t="s">
        <v>65</v>
      </c>
      <c r="Q58" s="378"/>
      <c r="T58" s="378" t="s">
        <v>90</v>
      </c>
      <c r="U58" s="378"/>
      <c r="V58" s="378"/>
      <c r="W58" s="378"/>
      <c r="X58" s="378"/>
    </row>
    <row r="59" spans="1:28" s="286" customFormat="1" ht="16.5" customHeight="1" x14ac:dyDescent="0.25">
      <c r="A59" s="286" t="s">
        <v>0</v>
      </c>
      <c r="B59" s="286" t="s">
        <v>5</v>
      </c>
      <c r="C59" s="286" t="s">
        <v>27</v>
      </c>
      <c r="D59" s="286" t="s">
        <v>81</v>
      </c>
      <c r="E59" s="286" t="s">
        <v>1359</v>
      </c>
      <c r="F59" s="286" t="s">
        <v>27</v>
      </c>
      <c r="G59" s="286" t="s">
        <v>81</v>
      </c>
      <c r="H59" s="286" t="s">
        <v>281</v>
      </c>
      <c r="I59" s="286" t="s">
        <v>40</v>
      </c>
      <c r="J59" s="286" t="s">
        <v>49</v>
      </c>
      <c r="K59" s="286" t="s">
        <v>643</v>
      </c>
      <c r="L59" s="286" t="s">
        <v>60</v>
      </c>
      <c r="M59" s="286" t="s">
        <v>256</v>
      </c>
      <c r="N59" s="286" t="s">
        <v>673</v>
      </c>
      <c r="O59" s="286" t="s">
        <v>438</v>
      </c>
      <c r="P59" s="286" t="s">
        <v>256</v>
      </c>
      <c r="Q59" s="286" t="s">
        <v>438</v>
      </c>
      <c r="R59" s="286" t="s">
        <v>330</v>
      </c>
      <c r="S59" s="286" t="s">
        <v>917</v>
      </c>
      <c r="T59" s="286" t="s">
        <v>1343</v>
      </c>
      <c r="U59" s="286" t="s">
        <v>613</v>
      </c>
      <c r="V59" s="286" t="s">
        <v>439</v>
      </c>
      <c r="W59" s="11" t="s">
        <v>440</v>
      </c>
      <c r="X59" s="286" t="s">
        <v>537</v>
      </c>
      <c r="Y59" s="286" t="s">
        <v>257</v>
      </c>
      <c r="Z59" s="286" t="s">
        <v>901</v>
      </c>
      <c r="AA59" s="286" t="s">
        <v>536</v>
      </c>
      <c r="AB59" s="286" t="s">
        <v>1645</v>
      </c>
    </row>
    <row r="60" spans="1:28" ht="16.5" customHeight="1" x14ac:dyDescent="0.25">
      <c r="A60" s="286" t="s">
        <v>518</v>
      </c>
      <c r="B60" s="1" t="s">
        <v>2</v>
      </c>
      <c r="C60" s="1">
        <f>C54</f>
        <v>2040955</v>
      </c>
      <c r="D60" s="1">
        <f>D54</f>
        <v>3436.92</v>
      </c>
      <c r="V60" s="1">
        <f>V54</f>
        <v>520000</v>
      </c>
      <c r="W60" s="1">
        <f>W54</f>
        <v>200000</v>
      </c>
      <c r="X60" s="1">
        <f>X54</f>
        <v>1380000</v>
      </c>
      <c r="Y60" s="1">
        <f>Y54</f>
        <v>3200000</v>
      </c>
    </row>
    <row r="61" spans="1:28" ht="16.5" customHeight="1" x14ac:dyDescent="0.25">
      <c r="A61" s="286" t="s">
        <v>523</v>
      </c>
      <c r="B61" s="1" t="s">
        <v>534</v>
      </c>
      <c r="C61" s="1">
        <v>-1650000</v>
      </c>
      <c r="Z61" s="1">
        <v>450000</v>
      </c>
      <c r="AA61" s="1">
        <v>1200000</v>
      </c>
    </row>
    <row r="62" spans="1:28" ht="16.5" customHeight="1" x14ac:dyDescent="0.25">
      <c r="A62" s="286" t="s">
        <v>524</v>
      </c>
      <c r="B62" s="1" t="s">
        <v>535</v>
      </c>
      <c r="C62" s="1">
        <v>-350000</v>
      </c>
      <c r="F62" s="1">
        <v>350000</v>
      </c>
    </row>
    <row r="63" spans="1:28" s="58" customFormat="1" ht="16.5" customHeight="1" x14ac:dyDescent="0.25">
      <c r="A63" s="285" t="s">
        <v>539</v>
      </c>
      <c r="B63" s="58" t="s">
        <v>574</v>
      </c>
      <c r="Y63" s="58">
        <v>-1000000</v>
      </c>
    </row>
    <row r="64" spans="1:28" s="58" customFormat="1" ht="16.5" customHeight="1" x14ac:dyDescent="0.25">
      <c r="A64" s="285" t="s">
        <v>577</v>
      </c>
      <c r="B64" s="58" t="s">
        <v>574</v>
      </c>
      <c r="Y64" s="58">
        <v>-1200000</v>
      </c>
    </row>
    <row r="65" spans="1:28" s="58" customFormat="1" ht="16.5" customHeight="1" x14ac:dyDescent="0.25">
      <c r="A65" s="285" t="s">
        <v>601</v>
      </c>
      <c r="B65" s="58" t="s">
        <v>574</v>
      </c>
      <c r="Y65" s="58">
        <v>-200000</v>
      </c>
    </row>
    <row r="66" spans="1:28" s="3" customFormat="1" ht="16.5" customHeight="1" x14ac:dyDescent="0.25">
      <c r="A66" s="288"/>
      <c r="C66" s="3">
        <f>SUM(C60:C65)</f>
        <v>40955</v>
      </c>
      <c r="D66" s="3">
        <f t="shared" ref="D66:AA66" si="4">SUM(D60:D65)</f>
        <v>3436.92</v>
      </c>
      <c r="F66" s="3">
        <f t="shared" si="4"/>
        <v>350000</v>
      </c>
      <c r="G66" s="3">
        <f t="shared" si="4"/>
        <v>0</v>
      </c>
      <c r="I66" s="3">
        <f t="shared" si="4"/>
        <v>0</v>
      </c>
      <c r="J66" s="3">
        <f t="shared" si="4"/>
        <v>0</v>
      </c>
      <c r="K66" s="3">
        <f t="shared" si="4"/>
        <v>0</v>
      </c>
      <c r="L66" s="3">
        <f t="shared" si="4"/>
        <v>0</v>
      </c>
      <c r="M66" s="3">
        <f t="shared" si="4"/>
        <v>0</v>
      </c>
      <c r="O66" s="3">
        <f t="shared" si="4"/>
        <v>0</v>
      </c>
      <c r="P66" s="3">
        <f t="shared" si="4"/>
        <v>0</v>
      </c>
      <c r="Q66" s="3">
        <f t="shared" si="4"/>
        <v>0</v>
      </c>
      <c r="R66" s="3">
        <f t="shared" si="4"/>
        <v>0</v>
      </c>
      <c r="V66" s="3">
        <f t="shared" si="4"/>
        <v>520000</v>
      </c>
      <c r="W66" s="3">
        <f t="shared" si="4"/>
        <v>200000</v>
      </c>
      <c r="X66" s="3">
        <f t="shared" si="4"/>
        <v>1380000</v>
      </c>
      <c r="Y66" s="3">
        <f t="shared" si="4"/>
        <v>800000</v>
      </c>
      <c r="Z66" s="3">
        <f t="shared" si="4"/>
        <v>450000</v>
      </c>
      <c r="AA66" s="3">
        <f t="shared" si="4"/>
        <v>1200000</v>
      </c>
    </row>
    <row r="68" spans="1:28" ht="16.5" customHeight="1" x14ac:dyDescent="0.25">
      <c r="A68" s="286" t="s">
        <v>533</v>
      </c>
      <c r="B68" s="18"/>
      <c r="F68" s="378" t="s">
        <v>28</v>
      </c>
      <c r="G68" s="378"/>
      <c r="H68" s="286"/>
      <c r="M68" s="378" t="s">
        <v>77</v>
      </c>
      <c r="N68" s="378"/>
      <c r="O68" s="378"/>
      <c r="P68" s="378" t="s">
        <v>65</v>
      </c>
      <c r="Q68" s="378"/>
      <c r="T68" s="378" t="s">
        <v>90</v>
      </c>
      <c r="U68" s="378"/>
      <c r="V68" s="378"/>
      <c r="W68" s="378"/>
      <c r="X68" s="378"/>
    </row>
    <row r="69" spans="1:28" s="286" customFormat="1" ht="16.5" customHeight="1" x14ac:dyDescent="0.25">
      <c r="A69" s="286" t="s">
        <v>0</v>
      </c>
      <c r="B69" s="286" t="s">
        <v>5</v>
      </c>
      <c r="C69" s="286" t="s">
        <v>27</v>
      </c>
      <c r="D69" s="286" t="s">
        <v>81</v>
      </c>
      <c r="E69" s="286" t="s">
        <v>1359</v>
      </c>
      <c r="F69" s="286" t="s">
        <v>27</v>
      </c>
      <c r="G69" s="286" t="s">
        <v>81</v>
      </c>
      <c r="H69" s="286" t="s">
        <v>281</v>
      </c>
      <c r="I69" s="286" t="s">
        <v>40</v>
      </c>
      <c r="J69" s="286" t="s">
        <v>49</v>
      </c>
      <c r="K69" s="286" t="s">
        <v>643</v>
      </c>
      <c r="L69" s="286" t="s">
        <v>60</v>
      </c>
      <c r="M69" s="286" t="s">
        <v>256</v>
      </c>
      <c r="N69" s="286" t="s">
        <v>673</v>
      </c>
      <c r="O69" s="286" t="s">
        <v>438</v>
      </c>
      <c r="P69" s="286" t="s">
        <v>256</v>
      </c>
      <c r="Q69" s="286" t="s">
        <v>438</v>
      </c>
      <c r="R69" s="286" t="s">
        <v>330</v>
      </c>
      <c r="S69" s="286" t="s">
        <v>917</v>
      </c>
      <c r="T69" s="286" t="s">
        <v>1343</v>
      </c>
      <c r="U69" s="286" t="s">
        <v>613</v>
      </c>
      <c r="V69" s="286" t="s">
        <v>439</v>
      </c>
      <c r="W69" s="11" t="s">
        <v>440</v>
      </c>
      <c r="X69" s="286" t="s">
        <v>537</v>
      </c>
      <c r="Y69" s="286" t="s">
        <v>257</v>
      </c>
      <c r="Z69" s="286" t="s">
        <v>901</v>
      </c>
      <c r="AA69" s="286" t="s">
        <v>536</v>
      </c>
      <c r="AB69" s="286" t="s">
        <v>1645</v>
      </c>
    </row>
    <row r="70" spans="1:28" ht="16.5" customHeight="1" x14ac:dyDescent="0.25">
      <c r="A70" s="286" t="s">
        <v>639</v>
      </c>
      <c r="B70" s="1" t="s">
        <v>2</v>
      </c>
      <c r="C70" s="1">
        <f>C66</f>
        <v>40955</v>
      </c>
      <c r="D70" s="1">
        <f>D66</f>
        <v>3436.92</v>
      </c>
      <c r="V70" s="1">
        <f t="shared" ref="V70:AA70" si="5">V66</f>
        <v>520000</v>
      </c>
      <c r="W70" s="1">
        <f t="shared" si="5"/>
        <v>200000</v>
      </c>
      <c r="X70" s="1">
        <f t="shared" si="5"/>
        <v>1380000</v>
      </c>
      <c r="Y70" s="1">
        <f t="shared" si="5"/>
        <v>800000</v>
      </c>
      <c r="Z70" s="1">
        <f t="shared" si="5"/>
        <v>450000</v>
      </c>
      <c r="AA70" s="1">
        <f t="shared" si="5"/>
        <v>1200000</v>
      </c>
    </row>
    <row r="71" spans="1:28" ht="16.5" customHeight="1" x14ac:dyDescent="0.25">
      <c r="A71" s="286" t="s">
        <v>661</v>
      </c>
      <c r="B71" s="58" t="s">
        <v>574</v>
      </c>
      <c r="Y71" s="1">
        <v>-100000</v>
      </c>
    </row>
    <row r="72" spans="1:28" ht="16.5" customHeight="1" x14ac:dyDescent="0.25">
      <c r="A72" s="286" t="s">
        <v>671</v>
      </c>
      <c r="B72" s="58" t="s">
        <v>574</v>
      </c>
      <c r="Y72" s="1">
        <v>-200000</v>
      </c>
    </row>
    <row r="73" spans="1:28" ht="16.5" customHeight="1" x14ac:dyDescent="0.25">
      <c r="A73" s="286" t="s">
        <v>891</v>
      </c>
      <c r="B73" s="58" t="s">
        <v>942</v>
      </c>
      <c r="Y73" s="1">
        <f>-152500-345000</f>
        <v>-497500</v>
      </c>
    </row>
    <row r="74" spans="1:28" ht="16.5" customHeight="1" x14ac:dyDescent="0.25">
      <c r="C74" s="1">
        <f>SUM(C70:C73)</f>
        <v>40955</v>
      </c>
      <c r="D74" s="1">
        <f t="shared" ref="D74:AA74" si="6">SUM(D70:D73)</f>
        <v>3436.92</v>
      </c>
      <c r="F74" s="1">
        <f t="shared" si="6"/>
        <v>0</v>
      </c>
      <c r="G74" s="1">
        <f t="shared" si="6"/>
        <v>0</v>
      </c>
      <c r="I74" s="1">
        <f t="shared" si="6"/>
        <v>0</v>
      </c>
      <c r="J74" s="1">
        <f t="shared" si="6"/>
        <v>0</v>
      </c>
      <c r="K74" s="1">
        <f t="shared" si="6"/>
        <v>0</v>
      </c>
      <c r="L74" s="1">
        <f t="shared" si="6"/>
        <v>0</v>
      </c>
      <c r="M74" s="1">
        <f t="shared" si="6"/>
        <v>0</v>
      </c>
      <c r="O74" s="1">
        <f t="shared" si="6"/>
        <v>0</v>
      </c>
      <c r="P74" s="1">
        <f t="shared" si="6"/>
        <v>0</v>
      </c>
      <c r="Q74" s="1">
        <f t="shared" si="6"/>
        <v>0</v>
      </c>
      <c r="R74" s="1">
        <f t="shared" si="6"/>
        <v>0</v>
      </c>
      <c r="V74" s="1">
        <f t="shared" si="6"/>
        <v>520000</v>
      </c>
      <c r="W74" s="1">
        <f t="shared" si="6"/>
        <v>200000</v>
      </c>
      <c r="X74" s="1">
        <f t="shared" si="6"/>
        <v>1380000</v>
      </c>
      <c r="Y74" s="1">
        <f t="shared" si="6"/>
        <v>2500</v>
      </c>
      <c r="Z74" s="1">
        <f t="shared" si="6"/>
        <v>450000</v>
      </c>
      <c r="AA74" s="1">
        <f t="shared" si="6"/>
        <v>1200000</v>
      </c>
    </row>
    <row r="78" spans="1:28" ht="16.5" customHeight="1" x14ac:dyDescent="0.25">
      <c r="A78" s="286" t="s">
        <v>533</v>
      </c>
      <c r="B78" s="18"/>
      <c r="F78" s="378" t="s">
        <v>28</v>
      </c>
      <c r="G78" s="378"/>
      <c r="H78" s="286"/>
      <c r="M78" s="378" t="s">
        <v>77</v>
      </c>
      <c r="N78" s="378"/>
      <c r="O78" s="378"/>
      <c r="P78" s="378" t="s">
        <v>65</v>
      </c>
      <c r="Q78" s="378"/>
      <c r="T78" s="378" t="s">
        <v>90</v>
      </c>
      <c r="U78" s="378"/>
      <c r="V78" s="378"/>
      <c r="W78" s="378"/>
      <c r="X78" s="378"/>
    </row>
    <row r="79" spans="1:28" s="286" customFormat="1" ht="16.5" customHeight="1" x14ac:dyDescent="0.25">
      <c r="A79" s="286" t="s">
        <v>0</v>
      </c>
      <c r="B79" s="286" t="s">
        <v>5</v>
      </c>
      <c r="C79" s="286" t="s">
        <v>27</v>
      </c>
      <c r="D79" s="286" t="s">
        <v>81</v>
      </c>
      <c r="E79" s="286" t="s">
        <v>1359</v>
      </c>
      <c r="F79" s="286" t="s">
        <v>27</v>
      </c>
      <c r="G79" s="286" t="s">
        <v>81</v>
      </c>
      <c r="H79" s="286" t="s">
        <v>281</v>
      </c>
      <c r="I79" s="286" t="s">
        <v>40</v>
      </c>
      <c r="J79" s="286" t="s">
        <v>49</v>
      </c>
      <c r="K79" s="286" t="s">
        <v>643</v>
      </c>
      <c r="L79" s="286" t="s">
        <v>60</v>
      </c>
      <c r="M79" s="286" t="s">
        <v>256</v>
      </c>
      <c r="N79" s="286" t="s">
        <v>673</v>
      </c>
      <c r="O79" s="286" t="s">
        <v>438</v>
      </c>
      <c r="P79" s="286" t="s">
        <v>256</v>
      </c>
      <c r="Q79" s="286" t="s">
        <v>438</v>
      </c>
      <c r="R79" s="286" t="s">
        <v>330</v>
      </c>
      <c r="S79" s="286" t="s">
        <v>917</v>
      </c>
      <c r="T79" s="286" t="s">
        <v>1343</v>
      </c>
      <c r="U79" s="286" t="s">
        <v>613</v>
      </c>
      <c r="V79" s="286" t="s">
        <v>439</v>
      </c>
      <c r="W79" s="11" t="s">
        <v>440</v>
      </c>
      <c r="X79" s="286" t="s">
        <v>537</v>
      </c>
      <c r="Y79" s="286" t="s">
        <v>257</v>
      </c>
      <c r="Z79" s="286" t="s">
        <v>901</v>
      </c>
      <c r="AA79" s="286" t="s">
        <v>536</v>
      </c>
      <c r="AB79" s="286" t="s">
        <v>1645</v>
      </c>
    </row>
    <row r="80" spans="1:28" ht="16.5" customHeight="1" x14ac:dyDescent="0.25">
      <c r="A80" s="286" t="s">
        <v>908</v>
      </c>
      <c r="B80" s="1" t="s">
        <v>2</v>
      </c>
      <c r="C80" s="1">
        <f>C74</f>
        <v>40955</v>
      </c>
      <c r="D80" s="1">
        <f>D74</f>
        <v>3436.92</v>
      </c>
      <c r="V80" s="1">
        <f t="shared" ref="V80:AA80" si="7">V74</f>
        <v>520000</v>
      </c>
      <c r="W80" s="1">
        <f t="shared" si="7"/>
        <v>200000</v>
      </c>
      <c r="X80" s="1">
        <f t="shared" si="7"/>
        <v>1380000</v>
      </c>
      <c r="Y80" s="1">
        <f t="shared" si="7"/>
        <v>2500</v>
      </c>
      <c r="Z80" s="1">
        <f t="shared" si="7"/>
        <v>450000</v>
      </c>
      <c r="AA80" s="1">
        <f t="shared" si="7"/>
        <v>1200000</v>
      </c>
    </row>
    <row r="81" spans="1:27" ht="16.5" customHeight="1" x14ac:dyDescent="0.25">
      <c r="A81" s="286" t="s">
        <v>913</v>
      </c>
      <c r="B81" s="1" t="s">
        <v>916</v>
      </c>
      <c r="C81" s="1">
        <v>4103966</v>
      </c>
      <c r="S81" s="1">
        <v>4103966</v>
      </c>
    </row>
    <row r="82" spans="1:27" ht="16.5" customHeight="1" x14ac:dyDescent="0.25">
      <c r="A82" s="1" t="s">
        <v>920</v>
      </c>
      <c r="B82" s="18" t="s">
        <v>921</v>
      </c>
      <c r="C82" s="1">
        <v>-1300000</v>
      </c>
      <c r="F82" s="1">
        <v>1300000</v>
      </c>
    </row>
    <row r="83" spans="1:27" ht="16.5" customHeight="1" x14ac:dyDescent="0.25">
      <c r="A83" s="1" t="s">
        <v>920</v>
      </c>
      <c r="B83" s="1" t="s">
        <v>936</v>
      </c>
      <c r="C83" s="1">
        <v>-800000</v>
      </c>
      <c r="AA83" s="1">
        <v>800000</v>
      </c>
    </row>
    <row r="84" spans="1:27" ht="16.5" customHeight="1" x14ac:dyDescent="0.25">
      <c r="A84" s="286" t="s">
        <v>939</v>
      </c>
      <c r="B84" s="18" t="s">
        <v>943</v>
      </c>
      <c r="C84" s="1">
        <v>490216</v>
      </c>
      <c r="R84" s="1">
        <v>490216</v>
      </c>
    </row>
    <row r="85" spans="1:27" ht="16.5" customHeight="1" x14ac:dyDescent="0.25">
      <c r="A85" s="64" t="s">
        <v>944</v>
      </c>
      <c r="B85" s="18" t="s">
        <v>945</v>
      </c>
      <c r="C85" s="1">
        <v>-500000</v>
      </c>
      <c r="F85" s="1">
        <v>500000</v>
      </c>
    </row>
    <row r="86" spans="1:27" ht="16.5" customHeight="1" x14ac:dyDescent="0.25">
      <c r="A86" s="286" t="s">
        <v>1093</v>
      </c>
      <c r="B86" s="18" t="s">
        <v>1095</v>
      </c>
      <c r="C86" s="1">
        <v>-650000</v>
      </c>
      <c r="F86" s="1">
        <v>650000</v>
      </c>
    </row>
    <row r="87" spans="1:27" ht="16.5" customHeight="1" x14ac:dyDescent="0.25">
      <c r="A87" s="286" t="s">
        <v>1128</v>
      </c>
      <c r="B87" s="18" t="s">
        <v>1131</v>
      </c>
      <c r="C87" s="1">
        <v>-500000</v>
      </c>
      <c r="F87" s="1">
        <v>500000</v>
      </c>
    </row>
    <row r="88" spans="1:27" ht="16.5" customHeight="1" x14ac:dyDescent="0.25">
      <c r="A88" s="65" t="s">
        <v>1142</v>
      </c>
      <c r="B88" s="18" t="s">
        <v>1143</v>
      </c>
      <c r="C88" s="1">
        <v>-500000</v>
      </c>
      <c r="F88" s="1">
        <v>500000</v>
      </c>
    </row>
    <row r="89" spans="1:27" ht="16.5" customHeight="1" x14ac:dyDescent="0.25">
      <c r="A89" s="1" t="s">
        <v>1294</v>
      </c>
      <c r="B89" s="18" t="s">
        <v>1295</v>
      </c>
      <c r="C89" s="1">
        <v>-275000</v>
      </c>
      <c r="F89" s="1">
        <v>275000</v>
      </c>
    </row>
    <row r="90" spans="1:27" ht="16.5" customHeight="1" x14ac:dyDescent="0.25">
      <c r="A90" s="1" t="s">
        <v>1303</v>
      </c>
      <c r="B90" s="18" t="s">
        <v>672</v>
      </c>
      <c r="C90" s="1">
        <v>900000</v>
      </c>
      <c r="N90" s="1">
        <v>900000</v>
      </c>
    </row>
    <row r="91" spans="1:27" ht="16.5" customHeight="1" x14ac:dyDescent="0.25">
      <c r="A91" s="1" t="s">
        <v>1341</v>
      </c>
      <c r="B91" s="1" t="s">
        <v>1342</v>
      </c>
      <c r="C91" s="1">
        <v>7500000</v>
      </c>
      <c r="S91" s="1">
        <v>7500000</v>
      </c>
    </row>
    <row r="92" spans="1:27" ht="16.5" customHeight="1" x14ac:dyDescent="0.25">
      <c r="A92" s="1" t="s">
        <v>1341</v>
      </c>
      <c r="B92" s="18" t="s">
        <v>1344</v>
      </c>
      <c r="C92" s="1">
        <v>-1075000</v>
      </c>
      <c r="T92" s="1">
        <v>1075000</v>
      </c>
    </row>
    <row r="93" spans="1:27" ht="16.5" customHeight="1" x14ac:dyDescent="0.25">
      <c r="A93" s="1" t="s">
        <v>1341</v>
      </c>
      <c r="B93" s="18" t="s">
        <v>1345</v>
      </c>
      <c r="C93" s="1">
        <v>-500000</v>
      </c>
      <c r="F93" s="1">
        <v>500000</v>
      </c>
    </row>
    <row r="94" spans="1:27" s="3" customFormat="1" ht="16.5" customHeight="1" x14ac:dyDescent="0.25">
      <c r="C94" s="3">
        <f>SUM(C80:C93)</f>
        <v>6935137</v>
      </c>
      <c r="D94" s="3">
        <f t="shared" ref="D94:AA94" si="8">SUM(D80:D93)</f>
        <v>3436.92</v>
      </c>
      <c r="E94" s="3">
        <f t="shared" si="8"/>
        <v>0</v>
      </c>
      <c r="F94" s="3">
        <f t="shared" si="8"/>
        <v>4225000</v>
      </c>
      <c r="G94" s="3">
        <f t="shared" si="8"/>
        <v>0</v>
      </c>
      <c r="I94" s="3">
        <f t="shared" si="8"/>
        <v>0</v>
      </c>
      <c r="J94" s="3">
        <f t="shared" si="8"/>
        <v>0</v>
      </c>
      <c r="K94" s="3">
        <f t="shared" si="8"/>
        <v>0</v>
      </c>
      <c r="L94" s="3">
        <f t="shared" si="8"/>
        <v>0</v>
      </c>
      <c r="M94" s="3">
        <f t="shared" si="8"/>
        <v>0</v>
      </c>
      <c r="N94" s="3">
        <f t="shared" si="8"/>
        <v>900000</v>
      </c>
      <c r="O94" s="3">
        <f t="shared" si="8"/>
        <v>0</v>
      </c>
      <c r="P94" s="3">
        <f t="shared" si="8"/>
        <v>0</v>
      </c>
      <c r="Q94" s="3">
        <f t="shared" si="8"/>
        <v>0</v>
      </c>
      <c r="R94" s="3">
        <f t="shared" si="8"/>
        <v>490216</v>
      </c>
      <c r="S94" s="3">
        <f t="shared" si="8"/>
        <v>11603966</v>
      </c>
      <c r="T94" s="3">
        <f t="shared" si="8"/>
        <v>1075000</v>
      </c>
      <c r="V94" s="3">
        <f t="shared" si="8"/>
        <v>520000</v>
      </c>
      <c r="W94" s="3">
        <f t="shared" si="8"/>
        <v>200000</v>
      </c>
      <c r="X94" s="3">
        <f t="shared" si="8"/>
        <v>1380000</v>
      </c>
      <c r="Y94" s="3">
        <f t="shared" si="8"/>
        <v>2500</v>
      </c>
      <c r="Z94" s="3">
        <f t="shared" si="8"/>
        <v>450000</v>
      </c>
      <c r="AA94" s="3">
        <f t="shared" si="8"/>
        <v>2000000</v>
      </c>
    </row>
    <row r="97" spans="1:28" ht="16.5" customHeight="1" x14ac:dyDescent="0.25">
      <c r="F97" s="378" t="s">
        <v>28</v>
      </c>
      <c r="G97" s="378"/>
      <c r="H97" s="286"/>
      <c r="M97" s="378" t="s">
        <v>77</v>
      </c>
      <c r="N97" s="378"/>
      <c r="O97" s="378"/>
      <c r="P97" s="378" t="s">
        <v>65</v>
      </c>
      <c r="Q97" s="378"/>
      <c r="T97" s="378" t="s">
        <v>90</v>
      </c>
      <c r="U97" s="378"/>
      <c r="V97" s="378"/>
      <c r="W97" s="378"/>
      <c r="X97" s="378"/>
    </row>
    <row r="98" spans="1:28" s="286" customFormat="1" ht="16.5" customHeight="1" x14ac:dyDescent="0.25">
      <c r="A98" s="286" t="s">
        <v>0</v>
      </c>
      <c r="B98" s="286" t="s">
        <v>5</v>
      </c>
      <c r="C98" s="286" t="s">
        <v>27</v>
      </c>
      <c r="D98" s="286" t="s">
        <v>81</v>
      </c>
      <c r="E98" s="286" t="s">
        <v>1359</v>
      </c>
      <c r="F98" s="286" t="s">
        <v>27</v>
      </c>
      <c r="G98" s="286" t="s">
        <v>81</v>
      </c>
      <c r="H98" s="286" t="s">
        <v>281</v>
      </c>
      <c r="I98" s="286" t="s">
        <v>40</v>
      </c>
      <c r="J98" s="286" t="s">
        <v>49</v>
      </c>
      <c r="K98" s="286" t="s">
        <v>643</v>
      </c>
      <c r="L98" s="286" t="s">
        <v>60</v>
      </c>
      <c r="M98" s="286" t="s">
        <v>256</v>
      </c>
      <c r="N98" s="286" t="s">
        <v>673</v>
      </c>
      <c r="O98" s="286" t="s">
        <v>438</v>
      </c>
      <c r="P98" s="286" t="s">
        <v>256</v>
      </c>
      <c r="Q98" s="286" t="s">
        <v>438</v>
      </c>
      <c r="R98" s="286" t="s">
        <v>330</v>
      </c>
      <c r="S98" s="286" t="s">
        <v>917</v>
      </c>
      <c r="T98" s="286" t="s">
        <v>1343</v>
      </c>
      <c r="U98" s="286" t="s">
        <v>613</v>
      </c>
      <c r="V98" s="286" t="s">
        <v>314</v>
      </c>
      <c r="W98" s="11" t="s">
        <v>329</v>
      </c>
      <c r="X98" s="286" t="s">
        <v>537</v>
      </c>
      <c r="Y98" s="286" t="s">
        <v>257</v>
      </c>
      <c r="Z98" s="286" t="s">
        <v>901</v>
      </c>
      <c r="AA98" s="286" t="s">
        <v>536</v>
      </c>
      <c r="AB98" s="286" t="s">
        <v>1645</v>
      </c>
    </row>
    <row r="99" spans="1:28" ht="16.5" customHeight="1" x14ac:dyDescent="0.25">
      <c r="A99" s="286" t="s">
        <v>1351</v>
      </c>
      <c r="B99" s="1" t="s">
        <v>2</v>
      </c>
      <c r="C99" s="1">
        <f>C94</f>
        <v>6935137</v>
      </c>
      <c r="D99" s="1">
        <f>D94</f>
        <v>3436.92</v>
      </c>
      <c r="S99" s="1">
        <f>S94</f>
        <v>11603966</v>
      </c>
      <c r="T99" s="1">
        <f>T94</f>
        <v>1075000</v>
      </c>
      <c r="V99" s="1">
        <f t="shared" ref="V99:AA99" si="9">V94</f>
        <v>520000</v>
      </c>
      <c r="W99" s="1">
        <f t="shared" si="9"/>
        <v>200000</v>
      </c>
      <c r="X99" s="1">
        <f t="shared" si="9"/>
        <v>1380000</v>
      </c>
      <c r="Y99" s="1">
        <f t="shared" si="9"/>
        <v>2500</v>
      </c>
      <c r="Z99" s="1">
        <f t="shared" si="9"/>
        <v>450000</v>
      </c>
      <c r="AA99" s="1">
        <f t="shared" si="9"/>
        <v>2000000</v>
      </c>
    </row>
    <row r="100" spans="1:28" ht="16.5" customHeight="1" x14ac:dyDescent="0.25">
      <c r="A100" s="286" t="s">
        <v>1353</v>
      </c>
      <c r="B100" s="18" t="s">
        <v>1355</v>
      </c>
      <c r="C100" s="1">
        <v>-1250000</v>
      </c>
      <c r="F100" s="1">
        <v>1250000</v>
      </c>
    </row>
    <row r="101" spans="1:28" ht="16.5" customHeight="1" x14ac:dyDescent="0.25">
      <c r="A101" s="286" t="s">
        <v>1353</v>
      </c>
      <c r="B101" s="1" t="s">
        <v>1360</v>
      </c>
      <c r="C101" s="1">
        <v>-600000</v>
      </c>
      <c r="AA101" s="1">
        <v>600000</v>
      </c>
    </row>
    <row r="102" spans="1:28" ht="16.5" customHeight="1" x14ac:dyDescent="0.25">
      <c r="A102" s="286" t="s">
        <v>1353</v>
      </c>
      <c r="B102" s="1" t="s">
        <v>1357</v>
      </c>
      <c r="C102" s="1">
        <v>-900000</v>
      </c>
      <c r="P102" s="1">
        <v>900000</v>
      </c>
    </row>
    <row r="103" spans="1:28" ht="16.5" customHeight="1" x14ac:dyDescent="0.25">
      <c r="A103" s="286" t="s">
        <v>1353</v>
      </c>
      <c r="B103" s="18" t="s">
        <v>1358</v>
      </c>
      <c r="C103" s="1">
        <v>-286250</v>
      </c>
      <c r="T103" s="1">
        <v>286250</v>
      </c>
    </row>
    <row r="104" spans="1:28" ht="16.5" customHeight="1" x14ac:dyDescent="0.25">
      <c r="A104" s="286" t="s">
        <v>1364</v>
      </c>
      <c r="B104" s="18" t="s">
        <v>672</v>
      </c>
      <c r="C104" s="1">
        <v>1900000</v>
      </c>
      <c r="N104" s="1">
        <v>1900000</v>
      </c>
    </row>
    <row r="105" spans="1:28" ht="16.5" customHeight="1" x14ac:dyDescent="0.25">
      <c r="A105" s="286" t="s">
        <v>1364</v>
      </c>
      <c r="B105" s="1" t="s">
        <v>1365</v>
      </c>
      <c r="C105" s="1">
        <v>-3100000</v>
      </c>
      <c r="P105" s="1">
        <v>3100000</v>
      </c>
    </row>
    <row r="106" spans="1:28" ht="16.5" customHeight="1" x14ac:dyDescent="0.25">
      <c r="A106" s="286" t="s">
        <v>1375</v>
      </c>
      <c r="B106" s="18" t="s">
        <v>1376</v>
      </c>
      <c r="C106" s="1">
        <v>-600000</v>
      </c>
      <c r="F106" s="1">
        <v>600000</v>
      </c>
    </row>
    <row r="107" spans="1:28" ht="16.5" customHeight="1" x14ac:dyDescent="0.25">
      <c r="A107" s="286" t="s">
        <v>1431</v>
      </c>
      <c r="B107" s="18" t="s">
        <v>1432</v>
      </c>
      <c r="C107" s="1">
        <v>-700000</v>
      </c>
      <c r="F107" s="1">
        <v>700000</v>
      </c>
    </row>
    <row r="108" spans="1:28" ht="16.5" customHeight="1" x14ac:dyDescent="0.25">
      <c r="A108" s="286" t="s">
        <v>1431</v>
      </c>
      <c r="B108" s="1" t="s">
        <v>1494</v>
      </c>
      <c r="C108" s="1">
        <v>1500000</v>
      </c>
      <c r="S108" s="1">
        <v>1500000</v>
      </c>
    </row>
    <row r="109" spans="1:28" ht="16.5" customHeight="1" x14ac:dyDescent="0.25">
      <c r="A109" s="286" t="s">
        <v>1441</v>
      </c>
      <c r="B109" s="18" t="s">
        <v>1449</v>
      </c>
      <c r="C109" s="1">
        <v>-1100000</v>
      </c>
      <c r="F109" s="1">
        <v>1100000</v>
      </c>
    </row>
    <row r="110" spans="1:28" ht="16.5" customHeight="1" x14ac:dyDescent="0.25">
      <c r="A110" s="286" t="s">
        <v>1441</v>
      </c>
      <c r="B110" s="1" t="s">
        <v>1521</v>
      </c>
      <c r="C110" s="1">
        <v>-306792</v>
      </c>
      <c r="H110" s="1">
        <v>306792</v>
      </c>
    </row>
    <row r="111" spans="1:28" ht="16.5" customHeight="1" x14ac:dyDescent="0.25">
      <c r="A111" s="286" t="s">
        <v>1504</v>
      </c>
      <c r="B111" s="1" t="s">
        <v>1518</v>
      </c>
      <c r="C111" s="1">
        <v>4000000</v>
      </c>
      <c r="S111" s="1">
        <v>4000000</v>
      </c>
    </row>
    <row r="112" spans="1:28" ht="16.5" customHeight="1" x14ac:dyDescent="0.25">
      <c r="A112" s="286" t="s">
        <v>1520</v>
      </c>
      <c r="B112" s="18" t="s">
        <v>1519</v>
      </c>
      <c r="C112" s="1">
        <v>-2300000</v>
      </c>
      <c r="F112" s="1">
        <v>2300000</v>
      </c>
    </row>
    <row r="113" spans="1:28" ht="16.5" customHeight="1" x14ac:dyDescent="0.25">
      <c r="A113" s="286" t="s">
        <v>1520</v>
      </c>
      <c r="B113" s="1" t="s">
        <v>1522</v>
      </c>
      <c r="C113" s="1">
        <v>-400000</v>
      </c>
      <c r="Q113" s="1">
        <v>400000</v>
      </c>
    </row>
    <row r="114" spans="1:28" ht="16.5" customHeight="1" x14ac:dyDescent="0.25">
      <c r="A114" s="286" t="s">
        <v>1520</v>
      </c>
      <c r="B114" s="18" t="s">
        <v>1523</v>
      </c>
      <c r="C114" s="1">
        <v>-1073200</v>
      </c>
      <c r="T114" s="1">
        <v>1073200</v>
      </c>
    </row>
    <row r="115" spans="1:28" ht="16.5" customHeight="1" x14ac:dyDescent="0.25">
      <c r="A115" s="286" t="s">
        <v>1520</v>
      </c>
      <c r="B115" s="1" t="s">
        <v>1524</v>
      </c>
      <c r="C115" s="1">
        <v>-600000</v>
      </c>
      <c r="AA115" s="1">
        <v>600000</v>
      </c>
    </row>
    <row r="116" spans="1:28" ht="16.5" customHeight="1" x14ac:dyDescent="0.25">
      <c r="A116" s="286" t="s">
        <v>1535</v>
      </c>
      <c r="B116" s="18" t="s">
        <v>1536</v>
      </c>
      <c r="C116" s="1">
        <v>-600000</v>
      </c>
      <c r="F116" s="1">
        <v>600000</v>
      </c>
    </row>
    <row r="117" spans="1:28" ht="16.5" customHeight="1" x14ac:dyDescent="0.25">
      <c r="C117" s="3">
        <f t="shared" ref="C117:AA117" si="10">SUM(C99:C116)</f>
        <v>518895</v>
      </c>
      <c r="D117" s="3">
        <f t="shared" si="10"/>
        <v>3436.92</v>
      </c>
      <c r="E117" s="3">
        <f t="shared" si="10"/>
        <v>0</v>
      </c>
      <c r="F117" s="3">
        <f t="shared" si="10"/>
        <v>6550000</v>
      </c>
      <c r="G117" s="3">
        <f t="shared" si="10"/>
        <v>0</v>
      </c>
      <c r="H117" s="3">
        <f t="shared" si="10"/>
        <v>306792</v>
      </c>
      <c r="I117" s="3">
        <f t="shared" si="10"/>
        <v>0</v>
      </c>
      <c r="J117" s="3">
        <f t="shared" si="10"/>
        <v>0</v>
      </c>
      <c r="K117" s="3">
        <f t="shared" si="10"/>
        <v>0</v>
      </c>
      <c r="L117" s="3">
        <f t="shared" si="10"/>
        <v>0</v>
      </c>
      <c r="M117" s="3">
        <f t="shared" si="10"/>
        <v>0</v>
      </c>
      <c r="N117" s="3">
        <f t="shared" si="10"/>
        <v>1900000</v>
      </c>
      <c r="O117" s="3">
        <f t="shared" si="10"/>
        <v>0</v>
      </c>
      <c r="P117" s="3">
        <f t="shared" si="10"/>
        <v>4000000</v>
      </c>
      <c r="Q117" s="3">
        <f t="shared" si="10"/>
        <v>400000</v>
      </c>
      <c r="R117" s="3">
        <f t="shared" si="10"/>
        <v>0</v>
      </c>
      <c r="S117" s="3">
        <f t="shared" si="10"/>
        <v>17103966</v>
      </c>
      <c r="T117" s="3">
        <f t="shared" si="10"/>
        <v>2434450</v>
      </c>
      <c r="U117" s="3"/>
      <c r="V117" s="3">
        <f t="shared" si="10"/>
        <v>520000</v>
      </c>
      <c r="W117" s="3">
        <f t="shared" si="10"/>
        <v>200000</v>
      </c>
      <c r="X117" s="3">
        <f t="shared" si="10"/>
        <v>1380000</v>
      </c>
      <c r="Y117" s="3">
        <f t="shared" si="10"/>
        <v>2500</v>
      </c>
      <c r="Z117" s="3">
        <f t="shared" si="10"/>
        <v>450000</v>
      </c>
      <c r="AA117" s="3">
        <f t="shared" si="10"/>
        <v>3200000</v>
      </c>
    </row>
    <row r="118" spans="1:28" ht="16.5" customHeight="1" x14ac:dyDescent="0.2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8" ht="16.5" customHeight="1" x14ac:dyDescent="0.2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1" spans="1:28" ht="16.5" customHeight="1" x14ac:dyDescent="0.25">
      <c r="F121" s="378" t="s">
        <v>28</v>
      </c>
      <c r="G121" s="378"/>
      <c r="H121" s="286"/>
      <c r="M121" s="378" t="s">
        <v>77</v>
      </c>
      <c r="N121" s="378"/>
      <c r="O121" s="378"/>
      <c r="P121" s="378" t="s">
        <v>65</v>
      </c>
      <c r="Q121" s="378"/>
      <c r="T121" s="378" t="s">
        <v>90</v>
      </c>
      <c r="U121" s="378"/>
      <c r="V121" s="378"/>
      <c r="W121" s="378"/>
      <c r="X121" s="378"/>
    </row>
    <row r="122" spans="1:28" s="286" customFormat="1" ht="16.5" customHeight="1" x14ac:dyDescent="0.25">
      <c r="A122" s="286" t="s">
        <v>0</v>
      </c>
      <c r="B122" s="286" t="s">
        <v>5</v>
      </c>
      <c r="C122" s="286" t="s">
        <v>27</v>
      </c>
      <c r="D122" s="286" t="s">
        <v>81</v>
      </c>
      <c r="E122" s="286" t="s">
        <v>1359</v>
      </c>
      <c r="F122" s="286" t="s">
        <v>27</v>
      </c>
      <c r="G122" s="286" t="s">
        <v>81</v>
      </c>
      <c r="H122" s="286" t="s">
        <v>281</v>
      </c>
      <c r="I122" s="286" t="s">
        <v>40</v>
      </c>
      <c r="J122" s="286" t="s">
        <v>49</v>
      </c>
      <c r="K122" s="286" t="s">
        <v>643</v>
      </c>
      <c r="L122" s="286" t="s">
        <v>60</v>
      </c>
      <c r="M122" s="286" t="s">
        <v>256</v>
      </c>
      <c r="N122" s="286" t="s">
        <v>673</v>
      </c>
      <c r="O122" s="286" t="s">
        <v>438</v>
      </c>
      <c r="P122" s="286" t="s">
        <v>256</v>
      </c>
      <c r="Q122" s="286" t="s">
        <v>438</v>
      </c>
      <c r="R122" s="286" t="s">
        <v>330</v>
      </c>
      <c r="S122" s="286" t="s">
        <v>917</v>
      </c>
      <c r="T122" s="286" t="s">
        <v>1343</v>
      </c>
      <c r="U122" s="286" t="s">
        <v>613</v>
      </c>
      <c r="V122" s="286" t="s">
        <v>314</v>
      </c>
      <c r="W122" s="11" t="s">
        <v>329</v>
      </c>
      <c r="X122" s="286" t="s">
        <v>537</v>
      </c>
      <c r="Y122" s="286" t="s">
        <v>257</v>
      </c>
      <c r="Z122" s="286" t="s">
        <v>901</v>
      </c>
      <c r="AA122" s="286" t="s">
        <v>536</v>
      </c>
      <c r="AB122" s="286" t="s">
        <v>1645</v>
      </c>
    </row>
    <row r="123" spans="1:28" ht="16.5" customHeight="1" x14ac:dyDescent="0.25">
      <c r="A123" s="286" t="s">
        <v>1553</v>
      </c>
      <c r="B123" s="1" t="s">
        <v>2</v>
      </c>
      <c r="C123" s="1">
        <f>C117</f>
        <v>518895</v>
      </c>
      <c r="D123" s="1">
        <f>D117</f>
        <v>3436.92</v>
      </c>
      <c r="S123" s="1">
        <f t="shared" ref="S123:AA123" si="11">S117</f>
        <v>17103966</v>
      </c>
      <c r="T123" s="1">
        <f t="shared" si="11"/>
        <v>2434450</v>
      </c>
      <c r="V123" s="1">
        <f t="shared" si="11"/>
        <v>520000</v>
      </c>
      <c r="W123" s="1">
        <f t="shared" si="11"/>
        <v>200000</v>
      </c>
      <c r="X123" s="1">
        <f t="shared" si="11"/>
        <v>1380000</v>
      </c>
      <c r="Y123" s="1">
        <f t="shared" si="11"/>
        <v>2500</v>
      </c>
      <c r="Z123" s="1">
        <f t="shared" si="11"/>
        <v>450000</v>
      </c>
      <c r="AA123" s="1">
        <f t="shared" si="11"/>
        <v>3200000</v>
      </c>
    </row>
    <row r="124" spans="1:28" ht="16.5" customHeight="1" x14ac:dyDescent="0.25">
      <c r="A124" s="286" t="s">
        <v>1553</v>
      </c>
      <c r="B124" s="1" t="s">
        <v>1554</v>
      </c>
      <c r="C124" s="1">
        <v>3500000</v>
      </c>
      <c r="S124" s="1">
        <v>3500000</v>
      </c>
    </row>
    <row r="125" spans="1:28" ht="16.5" customHeight="1" x14ac:dyDescent="0.25">
      <c r="A125" s="286" t="s">
        <v>1563</v>
      </c>
      <c r="B125" s="18" t="s">
        <v>1556</v>
      </c>
      <c r="C125" s="1">
        <v>-700000</v>
      </c>
      <c r="F125" s="1">
        <v>700000</v>
      </c>
    </row>
    <row r="126" spans="1:28" ht="16.5" customHeight="1" x14ac:dyDescent="0.25">
      <c r="A126" s="286" t="s">
        <v>1579</v>
      </c>
      <c r="B126" s="18" t="s">
        <v>1578</v>
      </c>
      <c r="C126" s="1">
        <v>-1000000</v>
      </c>
      <c r="F126" s="1">
        <v>1000000</v>
      </c>
    </row>
    <row r="127" spans="1:28" ht="16.5" customHeight="1" x14ac:dyDescent="0.25">
      <c r="A127" s="286" t="s">
        <v>1590</v>
      </c>
      <c r="B127" s="18" t="s">
        <v>1589</v>
      </c>
      <c r="C127" s="1">
        <v>-1000000</v>
      </c>
      <c r="F127" s="1">
        <v>1000000</v>
      </c>
    </row>
    <row r="128" spans="1:28" ht="16.5" customHeight="1" x14ac:dyDescent="0.25">
      <c r="A128" s="286" t="s">
        <v>1608</v>
      </c>
      <c r="B128" s="1" t="s">
        <v>1612</v>
      </c>
      <c r="C128" s="1">
        <v>-800000</v>
      </c>
      <c r="AA128" s="1">
        <v>800000</v>
      </c>
    </row>
    <row r="129" spans="1:28" ht="16.5" customHeight="1" x14ac:dyDescent="0.25">
      <c r="A129" s="286" t="s">
        <v>1613</v>
      </c>
      <c r="B129" s="1" t="s">
        <v>1614</v>
      </c>
      <c r="C129" s="1">
        <v>5033548</v>
      </c>
      <c r="S129" s="1">
        <v>5033548</v>
      </c>
    </row>
    <row r="130" spans="1:28" ht="16.5" customHeight="1" x14ac:dyDescent="0.25">
      <c r="A130" s="286" t="s">
        <v>1613</v>
      </c>
      <c r="B130" s="18" t="s">
        <v>1615</v>
      </c>
      <c r="C130" s="1">
        <v>-800000</v>
      </c>
      <c r="F130" s="1">
        <v>800000</v>
      </c>
    </row>
    <row r="131" spans="1:28" ht="16.5" customHeight="1" x14ac:dyDescent="0.25">
      <c r="A131" s="286" t="s">
        <v>1613</v>
      </c>
      <c r="B131" s="1" t="s">
        <v>1616</v>
      </c>
      <c r="C131" s="1">
        <v>-1945521</v>
      </c>
      <c r="X131" s="1">
        <v>1945521</v>
      </c>
    </row>
    <row r="132" spans="1:28" ht="16.5" customHeight="1" x14ac:dyDescent="0.25">
      <c r="A132" s="286" t="s">
        <v>1618</v>
      </c>
      <c r="B132" s="1" t="s">
        <v>1620</v>
      </c>
      <c r="C132" s="1">
        <v>-342300</v>
      </c>
      <c r="H132" s="1">
        <v>342300</v>
      </c>
    </row>
    <row r="133" spans="1:28" ht="16.5" customHeight="1" x14ac:dyDescent="0.25">
      <c r="A133" s="286" t="s">
        <v>1623</v>
      </c>
      <c r="B133" s="18" t="s">
        <v>1624</v>
      </c>
      <c r="C133" s="1">
        <v>-342300</v>
      </c>
      <c r="F133" s="1">
        <v>342300</v>
      </c>
    </row>
    <row r="134" spans="1:28" ht="16.5" customHeight="1" x14ac:dyDescent="0.25">
      <c r="A134" s="286" t="s">
        <v>1638</v>
      </c>
      <c r="B134" s="18" t="s">
        <v>1640</v>
      </c>
      <c r="C134" s="1">
        <v>-800000</v>
      </c>
      <c r="F134" s="1">
        <v>800000</v>
      </c>
    </row>
    <row r="135" spans="1:28" ht="16.5" customHeight="1" x14ac:dyDescent="0.25">
      <c r="A135" s="286" t="s">
        <v>1638</v>
      </c>
      <c r="B135" s="1" t="s">
        <v>1639</v>
      </c>
      <c r="C135" s="1">
        <v>-400000</v>
      </c>
      <c r="AA135" s="1">
        <v>400000</v>
      </c>
    </row>
    <row r="136" spans="1:28" ht="16.5" customHeight="1" x14ac:dyDescent="0.25">
      <c r="A136" s="286" t="s">
        <v>1647</v>
      </c>
      <c r="B136" s="1" t="s">
        <v>1648</v>
      </c>
      <c r="C136" s="1">
        <v>3500000</v>
      </c>
      <c r="S136" s="1">
        <v>3500000</v>
      </c>
    </row>
    <row r="137" spans="1:28" ht="16.5" customHeight="1" x14ac:dyDescent="0.25">
      <c r="A137" s="286" t="s">
        <v>1652</v>
      </c>
      <c r="B137" s="18" t="s">
        <v>1676</v>
      </c>
      <c r="C137" s="1">
        <v>-1000000</v>
      </c>
      <c r="F137" s="1">
        <v>1000000</v>
      </c>
    </row>
    <row r="138" spans="1:28" s="3" customFormat="1" ht="16.5" customHeight="1" x14ac:dyDescent="0.25">
      <c r="A138" s="288"/>
      <c r="C138" s="3">
        <f>SUM(C123:C137)</f>
        <v>3422322</v>
      </c>
      <c r="D138" s="3">
        <f t="shared" ref="D138:AB138" si="12">SUM(D123:D137)</f>
        <v>3436.92</v>
      </c>
      <c r="E138" s="3">
        <f t="shared" si="12"/>
        <v>0</v>
      </c>
      <c r="F138" s="3">
        <f t="shared" si="12"/>
        <v>5642300</v>
      </c>
      <c r="G138" s="3">
        <f t="shared" si="12"/>
        <v>0</v>
      </c>
      <c r="H138" s="3">
        <f t="shared" si="12"/>
        <v>342300</v>
      </c>
      <c r="I138" s="3">
        <f t="shared" si="12"/>
        <v>0</v>
      </c>
      <c r="J138" s="3">
        <f t="shared" si="12"/>
        <v>0</v>
      </c>
      <c r="K138" s="3">
        <f t="shared" si="12"/>
        <v>0</v>
      </c>
      <c r="L138" s="3">
        <f t="shared" si="12"/>
        <v>0</v>
      </c>
      <c r="M138" s="3">
        <f t="shared" si="12"/>
        <v>0</v>
      </c>
      <c r="N138" s="3">
        <f t="shared" si="12"/>
        <v>0</v>
      </c>
      <c r="O138" s="3">
        <f t="shared" si="12"/>
        <v>0</v>
      </c>
      <c r="P138" s="3">
        <f t="shared" si="12"/>
        <v>0</v>
      </c>
      <c r="Q138" s="3">
        <f t="shared" si="12"/>
        <v>0</v>
      </c>
      <c r="R138" s="3">
        <f t="shared" si="12"/>
        <v>0</v>
      </c>
      <c r="S138" s="3">
        <f t="shared" si="12"/>
        <v>29137514</v>
      </c>
      <c r="T138" s="3">
        <f t="shared" si="12"/>
        <v>2434450</v>
      </c>
      <c r="V138" s="3">
        <f t="shared" si="12"/>
        <v>520000</v>
      </c>
      <c r="W138" s="3">
        <f t="shared" si="12"/>
        <v>200000</v>
      </c>
      <c r="X138" s="3">
        <f t="shared" si="12"/>
        <v>3325521</v>
      </c>
      <c r="Y138" s="3">
        <f t="shared" si="12"/>
        <v>2500</v>
      </c>
      <c r="Z138" s="3">
        <f t="shared" si="12"/>
        <v>450000</v>
      </c>
      <c r="AA138" s="3">
        <f t="shared" si="12"/>
        <v>4400000</v>
      </c>
      <c r="AB138" s="3">
        <f t="shared" si="12"/>
        <v>0</v>
      </c>
    </row>
    <row r="141" spans="1:28" ht="16.5" customHeight="1" x14ac:dyDescent="0.25">
      <c r="F141" s="378" t="s">
        <v>28</v>
      </c>
      <c r="G141" s="378"/>
      <c r="H141" s="286"/>
      <c r="M141" s="378" t="s">
        <v>77</v>
      </c>
      <c r="N141" s="378"/>
      <c r="O141" s="378"/>
      <c r="P141" s="378" t="s">
        <v>65</v>
      </c>
      <c r="Q141" s="378"/>
      <c r="T141" s="378" t="s">
        <v>90</v>
      </c>
      <c r="U141" s="378"/>
      <c r="V141" s="378"/>
      <c r="W141" s="378"/>
      <c r="X141" s="378"/>
    </row>
    <row r="142" spans="1:28" s="286" customFormat="1" ht="16.5" customHeight="1" x14ac:dyDescent="0.25">
      <c r="A142" s="286" t="s">
        <v>0</v>
      </c>
      <c r="B142" s="286" t="s">
        <v>5</v>
      </c>
      <c r="C142" s="286" t="s">
        <v>27</v>
      </c>
      <c r="D142" s="286" t="s">
        <v>81</v>
      </c>
      <c r="E142" s="286" t="s">
        <v>1359</v>
      </c>
      <c r="F142" s="286" t="s">
        <v>27</v>
      </c>
      <c r="G142" s="286" t="s">
        <v>81</v>
      </c>
      <c r="H142" s="286" t="s">
        <v>281</v>
      </c>
      <c r="I142" s="286" t="s">
        <v>40</v>
      </c>
      <c r="J142" s="286" t="s">
        <v>49</v>
      </c>
      <c r="K142" s="286" t="s">
        <v>643</v>
      </c>
      <c r="L142" s="286" t="s">
        <v>60</v>
      </c>
      <c r="M142" s="286" t="s">
        <v>256</v>
      </c>
      <c r="N142" s="286" t="s">
        <v>673</v>
      </c>
      <c r="O142" s="286" t="s">
        <v>438</v>
      </c>
      <c r="P142" s="286" t="s">
        <v>256</v>
      </c>
      <c r="Q142" s="286" t="s">
        <v>438</v>
      </c>
      <c r="R142" s="286" t="s">
        <v>330</v>
      </c>
      <c r="S142" s="286" t="s">
        <v>917</v>
      </c>
      <c r="T142" s="286" t="s">
        <v>1343</v>
      </c>
      <c r="U142" s="286" t="s">
        <v>613</v>
      </c>
      <c r="V142" s="286" t="s">
        <v>314</v>
      </c>
      <c r="W142" s="11" t="s">
        <v>329</v>
      </c>
      <c r="X142" s="286" t="s">
        <v>537</v>
      </c>
      <c r="Y142" s="286" t="s">
        <v>257</v>
      </c>
      <c r="Z142" s="286" t="s">
        <v>901</v>
      </c>
      <c r="AA142" s="286" t="s">
        <v>536</v>
      </c>
      <c r="AB142" s="286" t="s">
        <v>1645</v>
      </c>
    </row>
    <row r="143" spans="1:28" ht="16.5" customHeight="1" x14ac:dyDescent="0.25">
      <c r="A143" s="286" t="s">
        <v>1694</v>
      </c>
      <c r="B143" s="1" t="s">
        <v>2</v>
      </c>
      <c r="C143" s="1">
        <f>C138</f>
        <v>3422322</v>
      </c>
      <c r="D143" s="1">
        <f>D138</f>
        <v>3436.92</v>
      </c>
      <c r="S143" s="1">
        <f t="shared" ref="S143:AA143" si="13">S138</f>
        <v>29137514</v>
      </c>
      <c r="T143" s="1">
        <f t="shared" si="13"/>
        <v>2434450</v>
      </c>
      <c r="V143" s="1">
        <f t="shared" si="13"/>
        <v>520000</v>
      </c>
      <c r="W143" s="1">
        <f t="shared" si="13"/>
        <v>200000</v>
      </c>
      <c r="X143" s="1">
        <f t="shared" si="13"/>
        <v>3325521</v>
      </c>
      <c r="Y143" s="1">
        <f t="shared" si="13"/>
        <v>2500</v>
      </c>
      <c r="Z143" s="1">
        <f t="shared" si="13"/>
        <v>450000</v>
      </c>
      <c r="AA143" s="1">
        <f t="shared" si="13"/>
        <v>4400000</v>
      </c>
    </row>
    <row r="144" spans="1:28" ht="16.5" customHeight="1" x14ac:dyDescent="0.25">
      <c r="A144" s="286" t="s">
        <v>1702</v>
      </c>
      <c r="B144" s="18" t="s">
        <v>1703</v>
      </c>
      <c r="C144" s="1">
        <v>-1200000</v>
      </c>
      <c r="F144" s="1">
        <v>1200000</v>
      </c>
    </row>
    <row r="145" spans="1:28" ht="16.5" customHeight="1" x14ac:dyDescent="0.25">
      <c r="A145" s="7" t="s">
        <v>1729</v>
      </c>
      <c r="B145" s="18" t="s">
        <v>1733</v>
      </c>
      <c r="C145" s="1">
        <v>-700000</v>
      </c>
      <c r="F145" s="1">
        <v>700000</v>
      </c>
    </row>
    <row r="146" spans="1:28" ht="16.5" customHeight="1" x14ac:dyDescent="0.25">
      <c r="A146" s="286" t="s">
        <v>1745</v>
      </c>
      <c r="B146" s="18" t="s">
        <v>1747</v>
      </c>
      <c r="C146" s="1">
        <v>-600000</v>
      </c>
      <c r="F146" s="1">
        <v>600000</v>
      </c>
    </row>
    <row r="147" spans="1:28" ht="16.5" customHeight="1" x14ac:dyDescent="0.25">
      <c r="A147" s="286" t="s">
        <v>1758</v>
      </c>
      <c r="B147" s="1" t="s">
        <v>1764</v>
      </c>
      <c r="C147" s="1">
        <v>-265609</v>
      </c>
      <c r="H147" s="1">
        <v>265609</v>
      </c>
    </row>
    <row r="148" spans="1:28" ht="16.5" customHeight="1" x14ac:dyDescent="0.25">
      <c r="A148" s="286" t="s">
        <v>1757</v>
      </c>
      <c r="B148" s="1" t="s">
        <v>1518</v>
      </c>
      <c r="C148" s="1">
        <v>5000000</v>
      </c>
      <c r="S148" s="1">
        <v>5000000</v>
      </c>
    </row>
    <row r="149" spans="1:28" ht="16.5" customHeight="1" x14ac:dyDescent="0.25">
      <c r="A149" s="286" t="s">
        <v>1762</v>
      </c>
      <c r="B149" s="18" t="s">
        <v>1763</v>
      </c>
      <c r="C149" s="1">
        <v>-2000000</v>
      </c>
      <c r="F149" s="1">
        <v>2000000</v>
      </c>
    </row>
    <row r="150" spans="1:28" ht="16.5" customHeight="1" x14ac:dyDescent="0.25">
      <c r="A150" s="286" t="s">
        <v>1762</v>
      </c>
      <c r="B150" s="18" t="s">
        <v>1765</v>
      </c>
      <c r="C150" s="1">
        <v>-262500</v>
      </c>
      <c r="T150" s="1">
        <v>262500</v>
      </c>
    </row>
    <row r="151" spans="1:28" ht="16.5" customHeight="1" x14ac:dyDescent="0.25">
      <c r="A151" s="286" t="s">
        <v>1767</v>
      </c>
      <c r="B151" s="18" t="s">
        <v>1778</v>
      </c>
      <c r="C151" s="1">
        <v>-700000</v>
      </c>
      <c r="F151" s="1">
        <v>700000</v>
      </c>
    </row>
    <row r="152" spans="1:28" s="65" customFormat="1" ht="16.5" customHeight="1" x14ac:dyDescent="0.25">
      <c r="A152" s="64" t="s">
        <v>1781</v>
      </c>
      <c r="B152" s="1" t="s">
        <v>1791</v>
      </c>
      <c r="C152" s="65">
        <v>-500000</v>
      </c>
      <c r="Y152" s="65">
        <v>500000</v>
      </c>
    </row>
    <row r="153" spans="1:28" s="65" customFormat="1" ht="16.5" customHeight="1" x14ac:dyDescent="0.25">
      <c r="A153" s="286" t="s">
        <v>1792</v>
      </c>
      <c r="B153" s="18" t="s">
        <v>1793</v>
      </c>
      <c r="C153" s="65">
        <v>-500000</v>
      </c>
      <c r="F153" s="65">
        <v>500000</v>
      </c>
    </row>
    <row r="154" spans="1:28" s="65" customFormat="1" ht="16.5" customHeight="1" x14ac:dyDescent="0.25">
      <c r="A154" s="64"/>
      <c r="B154" s="1"/>
    </row>
    <row r="155" spans="1:28" s="3" customFormat="1" ht="16.5" customHeight="1" x14ac:dyDescent="0.25">
      <c r="A155" s="288"/>
      <c r="C155" s="3">
        <f>SUM(C143:C154)</f>
        <v>1694213</v>
      </c>
      <c r="D155" s="3">
        <f t="shared" ref="D155:AB155" si="14">SUM(D143:D154)</f>
        <v>3436.92</v>
      </c>
      <c r="E155" s="3">
        <f t="shared" si="14"/>
        <v>0</v>
      </c>
      <c r="F155" s="3">
        <f t="shared" si="14"/>
        <v>5700000</v>
      </c>
      <c r="G155" s="3">
        <f t="shared" si="14"/>
        <v>0</v>
      </c>
      <c r="H155" s="3">
        <f t="shared" si="14"/>
        <v>265609</v>
      </c>
      <c r="I155" s="3">
        <f t="shared" si="14"/>
        <v>0</v>
      </c>
      <c r="J155" s="3">
        <f t="shared" si="14"/>
        <v>0</v>
      </c>
      <c r="K155" s="3">
        <f t="shared" si="14"/>
        <v>0</v>
      </c>
      <c r="L155" s="3">
        <f t="shared" si="14"/>
        <v>0</v>
      </c>
      <c r="M155" s="3">
        <f t="shared" si="14"/>
        <v>0</v>
      </c>
      <c r="N155" s="3">
        <f t="shared" si="14"/>
        <v>0</v>
      </c>
      <c r="O155" s="3">
        <f t="shared" si="14"/>
        <v>0</v>
      </c>
      <c r="P155" s="3">
        <f t="shared" si="14"/>
        <v>0</v>
      </c>
      <c r="Q155" s="3">
        <f t="shared" si="14"/>
        <v>0</v>
      </c>
      <c r="R155" s="3">
        <f t="shared" si="14"/>
        <v>0</v>
      </c>
      <c r="S155" s="3">
        <f t="shared" si="14"/>
        <v>34137514</v>
      </c>
      <c r="T155" s="3">
        <f t="shared" si="14"/>
        <v>2696950</v>
      </c>
      <c r="V155" s="3">
        <f t="shared" si="14"/>
        <v>520000</v>
      </c>
      <c r="W155" s="3">
        <f t="shared" si="14"/>
        <v>200000</v>
      </c>
      <c r="X155" s="3">
        <f t="shared" si="14"/>
        <v>3325521</v>
      </c>
      <c r="Y155" s="3">
        <f t="shared" si="14"/>
        <v>502500</v>
      </c>
      <c r="Z155" s="3">
        <f t="shared" si="14"/>
        <v>450000</v>
      </c>
      <c r="AA155" s="3">
        <f t="shared" si="14"/>
        <v>4400000</v>
      </c>
      <c r="AB155" s="3">
        <f t="shared" si="14"/>
        <v>0</v>
      </c>
    </row>
    <row r="160" spans="1:28" s="3" customFormat="1" ht="16.5" customHeight="1" x14ac:dyDescent="0.25">
      <c r="A160" s="288"/>
      <c r="F160" s="380" t="s">
        <v>28</v>
      </c>
      <c r="G160" s="380"/>
      <c r="H160" s="288"/>
      <c r="M160" s="380" t="s">
        <v>77</v>
      </c>
      <c r="N160" s="380"/>
      <c r="O160" s="380"/>
      <c r="P160" s="380" t="s">
        <v>65</v>
      </c>
      <c r="Q160" s="380"/>
      <c r="T160" s="380" t="s">
        <v>90</v>
      </c>
      <c r="U160" s="380"/>
      <c r="V160" s="380"/>
      <c r="W160" s="380"/>
      <c r="X160" s="380"/>
    </row>
    <row r="161" spans="1:28" s="288" customFormat="1" ht="16.5" customHeight="1" x14ac:dyDescent="0.25">
      <c r="A161" s="288" t="s">
        <v>0</v>
      </c>
      <c r="B161" s="288" t="s">
        <v>5</v>
      </c>
      <c r="C161" s="288" t="s">
        <v>27</v>
      </c>
      <c r="D161" s="288" t="s">
        <v>81</v>
      </c>
      <c r="E161" s="288" t="s">
        <v>1359</v>
      </c>
      <c r="F161" s="288" t="s">
        <v>27</v>
      </c>
      <c r="G161" s="288" t="s">
        <v>81</v>
      </c>
      <c r="H161" s="288" t="s">
        <v>281</v>
      </c>
      <c r="I161" s="288" t="s">
        <v>40</v>
      </c>
      <c r="J161" s="288" t="s">
        <v>49</v>
      </c>
      <c r="K161" s="288" t="s">
        <v>643</v>
      </c>
      <c r="L161" s="288" t="s">
        <v>60</v>
      </c>
      <c r="M161" s="288" t="s">
        <v>256</v>
      </c>
      <c r="N161" s="288" t="s">
        <v>673</v>
      </c>
      <c r="O161" s="288" t="s">
        <v>438</v>
      </c>
      <c r="P161" s="288" t="s">
        <v>256</v>
      </c>
      <c r="Q161" s="288" t="s">
        <v>438</v>
      </c>
      <c r="R161" s="288" t="s">
        <v>330</v>
      </c>
      <c r="S161" s="288" t="s">
        <v>917</v>
      </c>
      <c r="T161" s="288" t="s">
        <v>1343</v>
      </c>
      <c r="U161" s="286" t="s">
        <v>613</v>
      </c>
      <c r="V161" s="288" t="s">
        <v>314</v>
      </c>
      <c r="W161" s="51" t="s">
        <v>329</v>
      </c>
      <c r="X161" s="288" t="s">
        <v>537</v>
      </c>
      <c r="Y161" s="288" t="s">
        <v>257</v>
      </c>
      <c r="Z161" s="288" t="s">
        <v>901</v>
      </c>
      <c r="AA161" s="288" t="s">
        <v>536</v>
      </c>
      <c r="AB161" s="288" t="s">
        <v>1645</v>
      </c>
    </row>
    <row r="162" spans="1:28" ht="16.5" customHeight="1" x14ac:dyDescent="0.25">
      <c r="A162" s="286" t="s">
        <v>1796</v>
      </c>
      <c r="B162" s="1" t="s">
        <v>2</v>
      </c>
      <c r="C162" s="1">
        <f>C155</f>
        <v>1694213</v>
      </c>
      <c r="S162" s="1">
        <f t="shared" ref="S162:AA162" si="15">S155</f>
        <v>34137514</v>
      </c>
      <c r="T162" s="1">
        <f t="shared" si="15"/>
        <v>2696950</v>
      </c>
      <c r="V162" s="1">
        <f t="shared" si="15"/>
        <v>520000</v>
      </c>
      <c r="W162" s="1">
        <f t="shared" si="15"/>
        <v>200000</v>
      </c>
      <c r="X162" s="1">
        <f t="shared" si="15"/>
        <v>3325521</v>
      </c>
      <c r="Y162" s="1">
        <f t="shared" si="15"/>
        <v>502500</v>
      </c>
      <c r="Z162" s="1">
        <f t="shared" si="15"/>
        <v>450000</v>
      </c>
      <c r="AA162" s="1">
        <f t="shared" si="15"/>
        <v>4400000</v>
      </c>
    </row>
    <row r="163" spans="1:28" ht="16.5" customHeight="1" x14ac:dyDescent="0.25">
      <c r="A163" s="286" t="s">
        <v>2011</v>
      </c>
      <c r="B163" s="1" t="s">
        <v>2012</v>
      </c>
      <c r="C163" s="1">
        <v>2304807</v>
      </c>
      <c r="S163" s="1">
        <v>2304807</v>
      </c>
    </row>
    <row r="164" spans="1:28" ht="16.5" customHeight="1" x14ac:dyDescent="0.25">
      <c r="A164" s="286" t="s">
        <v>2062</v>
      </c>
      <c r="B164" s="84" t="s">
        <v>2152</v>
      </c>
      <c r="T164" s="1">
        <v>-2696950</v>
      </c>
    </row>
    <row r="165" spans="1:28" ht="16.5" customHeight="1" x14ac:dyDescent="0.25">
      <c r="B165" s="41" t="s">
        <v>2153</v>
      </c>
      <c r="U165" s="1">
        <v>2696950</v>
      </c>
    </row>
    <row r="166" spans="1:28" ht="16.5" customHeight="1" x14ac:dyDescent="0.25">
      <c r="A166" s="286" t="s">
        <v>2094</v>
      </c>
      <c r="B166" s="1" t="s">
        <v>2095</v>
      </c>
      <c r="C166" s="1">
        <v>5000000</v>
      </c>
      <c r="S166" s="1">
        <v>5000000</v>
      </c>
    </row>
    <row r="167" spans="1:28" ht="16.5" customHeight="1" x14ac:dyDescent="0.25">
      <c r="A167" s="286" t="s">
        <v>2109</v>
      </c>
      <c r="B167" s="1" t="s">
        <v>2126</v>
      </c>
      <c r="C167" s="1">
        <v>-273577</v>
      </c>
      <c r="H167" s="1">
        <v>273577</v>
      </c>
    </row>
    <row r="168" spans="1:28" ht="45" x14ac:dyDescent="0.25">
      <c r="A168" s="286" t="s">
        <v>2231</v>
      </c>
      <c r="B168" s="98" t="s">
        <v>2233</v>
      </c>
      <c r="C168" s="1">
        <v>-14408</v>
      </c>
      <c r="E168" s="160" t="s">
        <v>2234</v>
      </c>
      <c r="I168" s="1">
        <v>14408</v>
      </c>
    </row>
    <row r="169" spans="1:28" ht="17.25" customHeight="1" x14ac:dyDescent="0.25">
      <c r="A169" s="286" t="s">
        <v>2236</v>
      </c>
      <c r="B169" s="1" t="s">
        <v>2237</v>
      </c>
      <c r="C169" s="1">
        <v>-3200000</v>
      </c>
      <c r="P169" s="1">
        <v>3200000</v>
      </c>
    </row>
    <row r="170" spans="1:28" ht="16.5" customHeight="1" x14ac:dyDescent="0.25">
      <c r="A170" s="286" t="s">
        <v>2239</v>
      </c>
      <c r="B170" s="18" t="s">
        <v>2240</v>
      </c>
      <c r="C170" s="1">
        <v>-1500000</v>
      </c>
      <c r="X170" s="1">
        <v>1500000</v>
      </c>
    </row>
    <row r="174" spans="1:28" ht="16.5" customHeight="1" x14ac:dyDescent="0.25">
      <c r="B174" s="7"/>
    </row>
    <row r="175" spans="1:28" ht="16.5" customHeight="1" x14ac:dyDescent="0.25">
      <c r="B175" s="18"/>
    </row>
    <row r="176" spans="1:28" ht="16.5" customHeight="1" x14ac:dyDescent="0.25">
      <c r="B176" s="18"/>
    </row>
    <row r="177" spans="1:28" ht="16.5" customHeight="1" x14ac:dyDescent="0.25">
      <c r="B177" s="18"/>
    </row>
    <row r="178" spans="1:28" ht="16.5" customHeight="1" x14ac:dyDescent="0.25">
      <c r="B178" s="18"/>
    </row>
    <row r="179" spans="1:28" ht="16.5" customHeight="1" x14ac:dyDescent="0.25">
      <c r="B179" s="18"/>
    </row>
    <row r="181" spans="1:28" s="3" customFormat="1" ht="16.5" customHeight="1" x14ac:dyDescent="0.25">
      <c r="A181" s="288"/>
      <c r="C181" s="3">
        <f>SUM(C162:C180)</f>
        <v>4011035</v>
      </c>
      <c r="D181" s="3">
        <f>SUM(D162:D180)</f>
        <v>0</v>
      </c>
      <c r="E181" s="3">
        <f t="shared" ref="E181:AB181" si="16">SUM(E162:E180)</f>
        <v>0</v>
      </c>
      <c r="F181" s="3">
        <f t="shared" si="16"/>
        <v>0</v>
      </c>
      <c r="G181" s="3">
        <f t="shared" si="16"/>
        <v>0</v>
      </c>
      <c r="H181" s="3">
        <f t="shared" si="16"/>
        <v>273577</v>
      </c>
      <c r="I181" s="3">
        <f t="shared" si="16"/>
        <v>14408</v>
      </c>
      <c r="J181" s="3">
        <f t="shared" si="16"/>
        <v>0</v>
      </c>
      <c r="K181" s="3">
        <f t="shared" si="16"/>
        <v>0</v>
      </c>
      <c r="L181" s="3">
        <f t="shared" si="16"/>
        <v>0</v>
      </c>
      <c r="M181" s="3">
        <f t="shared" si="16"/>
        <v>0</v>
      </c>
      <c r="N181" s="3">
        <f t="shared" si="16"/>
        <v>0</v>
      </c>
      <c r="O181" s="3">
        <f t="shared" si="16"/>
        <v>0</v>
      </c>
      <c r="P181" s="3">
        <f t="shared" si="16"/>
        <v>3200000</v>
      </c>
      <c r="Q181" s="3">
        <f t="shared" si="16"/>
        <v>0</v>
      </c>
      <c r="R181" s="3">
        <f t="shared" si="16"/>
        <v>0</v>
      </c>
      <c r="S181" s="3">
        <f t="shared" si="16"/>
        <v>41442321</v>
      </c>
      <c r="T181" s="3">
        <f t="shared" si="16"/>
        <v>0</v>
      </c>
      <c r="U181" s="3">
        <f t="shared" si="16"/>
        <v>2696950</v>
      </c>
      <c r="V181" s="3">
        <f t="shared" si="16"/>
        <v>520000</v>
      </c>
      <c r="W181" s="3">
        <f t="shared" si="16"/>
        <v>200000</v>
      </c>
      <c r="X181" s="3">
        <f t="shared" si="16"/>
        <v>4825521</v>
      </c>
      <c r="Y181" s="3">
        <f t="shared" si="16"/>
        <v>502500</v>
      </c>
      <c r="Z181" s="3">
        <f t="shared" si="16"/>
        <v>450000</v>
      </c>
      <c r="AA181" s="3">
        <f t="shared" si="16"/>
        <v>4400000</v>
      </c>
      <c r="AB181" s="3">
        <f t="shared" si="16"/>
        <v>0</v>
      </c>
    </row>
    <row r="183" spans="1:28" s="3" customFormat="1" ht="16.5" customHeight="1" x14ac:dyDescent="0.25">
      <c r="A183" s="288"/>
      <c r="F183" s="380" t="s">
        <v>28</v>
      </c>
      <c r="G183" s="380"/>
      <c r="H183" s="288"/>
      <c r="M183" s="380" t="s">
        <v>77</v>
      </c>
      <c r="N183" s="380"/>
      <c r="O183" s="380"/>
      <c r="P183" s="380" t="s">
        <v>65</v>
      </c>
      <c r="Q183" s="380"/>
      <c r="T183" s="380" t="s">
        <v>90</v>
      </c>
      <c r="U183" s="380"/>
      <c r="V183" s="380"/>
      <c r="W183" s="380"/>
      <c r="X183" s="380"/>
    </row>
    <row r="184" spans="1:28" s="288" customFormat="1" ht="16.5" customHeight="1" x14ac:dyDescent="0.25">
      <c r="A184" s="288" t="s">
        <v>0</v>
      </c>
      <c r="B184" s="288" t="s">
        <v>5</v>
      </c>
      <c r="C184" s="288" t="s">
        <v>27</v>
      </c>
      <c r="D184" s="288" t="s">
        <v>81</v>
      </c>
      <c r="E184" s="288" t="s">
        <v>1359</v>
      </c>
      <c r="F184" s="288" t="s">
        <v>27</v>
      </c>
      <c r="G184" s="288" t="s">
        <v>81</v>
      </c>
      <c r="H184" s="288" t="s">
        <v>281</v>
      </c>
      <c r="I184" s="288" t="s">
        <v>40</v>
      </c>
      <c r="J184" s="288" t="s">
        <v>49</v>
      </c>
      <c r="K184" s="288" t="s">
        <v>643</v>
      </c>
      <c r="L184" s="288" t="s">
        <v>60</v>
      </c>
      <c r="M184" s="288" t="s">
        <v>256</v>
      </c>
      <c r="N184" s="288" t="s">
        <v>673</v>
      </c>
      <c r="O184" s="288" t="s">
        <v>438</v>
      </c>
      <c r="P184" s="288" t="s">
        <v>256</v>
      </c>
      <c r="Q184" s="288" t="s">
        <v>438</v>
      </c>
      <c r="R184" s="288" t="s">
        <v>330</v>
      </c>
      <c r="S184" s="288" t="s">
        <v>917</v>
      </c>
      <c r="T184" s="288" t="s">
        <v>1343</v>
      </c>
      <c r="U184" s="286" t="s">
        <v>613</v>
      </c>
      <c r="V184" s="288" t="s">
        <v>314</v>
      </c>
      <c r="W184" s="51" t="s">
        <v>329</v>
      </c>
      <c r="X184" s="288" t="s">
        <v>537</v>
      </c>
      <c r="Y184" s="288" t="s">
        <v>257</v>
      </c>
      <c r="Z184" s="288" t="s">
        <v>901</v>
      </c>
      <c r="AA184" s="288" t="s">
        <v>536</v>
      </c>
      <c r="AB184" s="288" t="s">
        <v>1645</v>
      </c>
    </row>
    <row r="185" spans="1:28" ht="16.5" customHeight="1" x14ac:dyDescent="0.25">
      <c r="A185" s="286" t="s">
        <v>2241</v>
      </c>
      <c r="B185" s="1" t="s">
        <v>2</v>
      </c>
      <c r="C185" s="1">
        <v>4011035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3200000</v>
      </c>
      <c r="Q185" s="1">
        <v>0</v>
      </c>
      <c r="R185" s="1">
        <v>0</v>
      </c>
      <c r="S185" s="1">
        <v>41442321</v>
      </c>
      <c r="T185" s="1">
        <v>0</v>
      </c>
      <c r="U185" s="1">
        <v>2696950</v>
      </c>
      <c r="V185" s="1">
        <v>520000</v>
      </c>
      <c r="W185" s="1">
        <v>200000</v>
      </c>
      <c r="X185" s="1">
        <v>4825521</v>
      </c>
      <c r="Y185" s="1">
        <v>502500</v>
      </c>
      <c r="Z185" s="1">
        <v>450000</v>
      </c>
      <c r="AA185" s="1">
        <v>4400000</v>
      </c>
      <c r="AB185" s="1">
        <v>0</v>
      </c>
    </row>
    <row r="186" spans="1:28" ht="16.5" customHeight="1" x14ac:dyDescent="0.25">
      <c r="A186" s="286" t="s">
        <v>2261</v>
      </c>
      <c r="B186" s="18" t="s">
        <v>2262</v>
      </c>
      <c r="C186" s="1">
        <v>-1600000</v>
      </c>
      <c r="F186" s="1">
        <v>1600000</v>
      </c>
    </row>
    <row r="187" spans="1:28" ht="16.5" customHeight="1" x14ac:dyDescent="0.25">
      <c r="A187" s="286" t="s">
        <v>2261</v>
      </c>
      <c r="B187" s="1" t="s">
        <v>2264</v>
      </c>
      <c r="C187" s="1">
        <v>-301123</v>
      </c>
      <c r="H187" s="1">
        <v>301123</v>
      </c>
    </row>
    <row r="188" spans="1:28" ht="16.5" customHeight="1" x14ac:dyDescent="0.25">
      <c r="A188" s="286" t="s">
        <v>2349</v>
      </c>
      <c r="B188" s="1" t="s">
        <v>2350</v>
      </c>
      <c r="C188" s="1">
        <v>-349215</v>
      </c>
      <c r="H188" s="1">
        <v>349215</v>
      </c>
    </row>
    <row r="189" spans="1:28" ht="16.5" customHeight="1" x14ac:dyDescent="0.25">
      <c r="A189" s="286" t="s">
        <v>2355</v>
      </c>
      <c r="B189" s="18" t="s">
        <v>2360</v>
      </c>
      <c r="C189" s="1">
        <v>-18244</v>
      </c>
      <c r="I189" s="1">
        <v>18244</v>
      </c>
    </row>
    <row r="193" spans="1:28" s="3" customFormat="1" ht="16.5" customHeight="1" x14ac:dyDescent="0.25">
      <c r="A193" s="286" t="s">
        <v>2242</v>
      </c>
      <c r="C193" s="3">
        <f>SUM(C185:C192)</f>
        <v>1742453</v>
      </c>
      <c r="D193" s="3">
        <f t="shared" ref="D193:AB193" si="17">SUM(D185:D192)</f>
        <v>0</v>
      </c>
      <c r="E193" s="3">
        <f t="shared" si="17"/>
        <v>0</v>
      </c>
      <c r="F193" s="3">
        <f t="shared" si="17"/>
        <v>1600000</v>
      </c>
      <c r="G193" s="3">
        <f t="shared" si="17"/>
        <v>0</v>
      </c>
      <c r="H193" s="3">
        <f t="shared" si="17"/>
        <v>650338</v>
      </c>
      <c r="I193" s="3">
        <f t="shared" si="17"/>
        <v>18244</v>
      </c>
      <c r="J193" s="3">
        <f t="shared" si="17"/>
        <v>0</v>
      </c>
      <c r="K193" s="3">
        <f t="shared" si="17"/>
        <v>0</v>
      </c>
      <c r="L193" s="3">
        <f t="shared" si="17"/>
        <v>0</v>
      </c>
      <c r="M193" s="3">
        <f t="shared" si="17"/>
        <v>0</v>
      </c>
      <c r="N193" s="3">
        <f t="shared" si="17"/>
        <v>0</v>
      </c>
      <c r="O193" s="3">
        <f t="shared" si="17"/>
        <v>0</v>
      </c>
      <c r="P193" s="3">
        <f t="shared" si="17"/>
        <v>3200000</v>
      </c>
      <c r="Q193" s="3">
        <f t="shared" si="17"/>
        <v>0</v>
      </c>
      <c r="R193" s="3">
        <f t="shared" si="17"/>
        <v>0</v>
      </c>
      <c r="S193" s="3">
        <f t="shared" si="17"/>
        <v>41442321</v>
      </c>
      <c r="T193" s="3">
        <f t="shared" si="17"/>
        <v>0</v>
      </c>
      <c r="U193" s="3">
        <f t="shared" si="17"/>
        <v>2696950</v>
      </c>
      <c r="V193" s="3">
        <f t="shared" si="17"/>
        <v>520000</v>
      </c>
      <c r="W193" s="3">
        <f t="shared" si="17"/>
        <v>200000</v>
      </c>
      <c r="X193" s="3">
        <f t="shared" si="17"/>
        <v>4825521</v>
      </c>
      <c r="Y193" s="3">
        <f t="shared" si="17"/>
        <v>502500</v>
      </c>
      <c r="Z193" s="3">
        <f t="shared" si="17"/>
        <v>450000</v>
      </c>
      <c r="AA193" s="3">
        <f>SUM(AA185:AA192)</f>
        <v>4400000</v>
      </c>
      <c r="AB193" s="3">
        <f t="shared" si="17"/>
        <v>0</v>
      </c>
    </row>
  </sheetData>
  <mergeCells count="48">
    <mergeCell ref="F160:G160"/>
    <mergeCell ref="M160:O160"/>
    <mergeCell ref="P160:Q160"/>
    <mergeCell ref="T160:X160"/>
    <mergeCell ref="F183:G183"/>
    <mergeCell ref="M183:O183"/>
    <mergeCell ref="P183:Q183"/>
    <mergeCell ref="T183:X183"/>
    <mergeCell ref="F121:G121"/>
    <mergeCell ref="M121:O121"/>
    <mergeCell ref="P121:Q121"/>
    <mergeCell ref="T121:X121"/>
    <mergeCell ref="F141:G141"/>
    <mergeCell ref="M141:O141"/>
    <mergeCell ref="P141:Q141"/>
    <mergeCell ref="T141:X141"/>
    <mergeCell ref="F78:G78"/>
    <mergeCell ref="M78:O78"/>
    <mergeCell ref="P78:Q78"/>
    <mergeCell ref="T78:X78"/>
    <mergeCell ref="F97:G97"/>
    <mergeCell ref="M97:O97"/>
    <mergeCell ref="P97:Q97"/>
    <mergeCell ref="T97:X97"/>
    <mergeCell ref="F58:G58"/>
    <mergeCell ref="M58:O58"/>
    <mergeCell ref="P58:Q58"/>
    <mergeCell ref="T58:X58"/>
    <mergeCell ref="F68:G68"/>
    <mergeCell ref="M68:O68"/>
    <mergeCell ref="P68:Q68"/>
    <mergeCell ref="T68:X68"/>
    <mergeCell ref="F29:G29"/>
    <mergeCell ref="M29:O29"/>
    <mergeCell ref="P29:Q29"/>
    <mergeCell ref="T29:X29"/>
    <mergeCell ref="F39:G39"/>
    <mergeCell ref="M39:O39"/>
    <mergeCell ref="P39:Q39"/>
    <mergeCell ref="T39:X39"/>
    <mergeCell ref="F1:G1"/>
    <mergeCell ref="M1:O1"/>
    <mergeCell ref="P1:Q1"/>
    <mergeCell ref="T1:X1"/>
    <mergeCell ref="F12:G12"/>
    <mergeCell ref="M12:O12"/>
    <mergeCell ref="P12:Q12"/>
    <mergeCell ref="T12:X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Journal Voucher</vt:lpstr>
      <vt:lpstr>Cash Book</vt:lpstr>
      <vt:lpstr>Sheet3</vt:lpstr>
      <vt:lpstr>Sheet1</vt:lpstr>
      <vt:lpstr>Cash &amp; Cash Equavalent</vt:lpstr>
      <vt:lpstr>Sheet2</vt:lpstr>
      <vt:lpstr>Bank Book</vt:lpstr>
      <vt:lpstr>Bank Book (2)</vt:lpstr>
      <vt:lpstr>'Journal Voucher'!Print_Area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2019-07-02T07:14:06Z</cp:lastPrinted>
  <dcterms:created xsi:type="dcterms:W3CDTF">2018-05-15T07:57:43Z</dcterms:created>
  <dcterms:modified xsi:type="dcterms:W3CDTF">2019-09-23T12:25:10Z</dcterms:modified>
</cp:coreProperties>
</file>